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BDMC\Website 2021 - Wireframes\Content\Documents\About us\ECA\"/>
    </mc:Choice>
  </mc:AlternateContent>
  <workbookProtection workbookPassword="B57F" lockStructure="1"/>
  <bookViews>
    <workbookView xWindow="0" yWindow="0" windowWidth="23040" windowHeight="9216" tabRatio="551"/>
  </bookViews>
  <sheets>
    <sheet name="WEB" sheetId="2" r:id="rId1"/>
    <sheet name="CALCULATIONS" sheetId="3" state="hidden" r:id="rId2"/>
    <sheet name="Sheet1" sheetId="4" state="hidden" r:id="rId3"/>
  </sheets>
  <definedNames>
    <definedName name="_xlnm.Print_Area" localSheetId="0">WEB!$A$1:$HZ$77</definedName>
  </definedNames>
  <calcPr calcId="162913"/>
</workbook>
</file>

<file path=xl/calcChain.xml><?xml version="1.0" encoding="utf-8"?>
<calcChain xmlns="http://schemas.openxmlformats.org/spreadsheetml/2006/main">
  <c r="M42" i="3" l="1"/>
  <c r="K42" i="3"/>
  <c r="K40" i="3"/>
  <c r="K52" i="3"/>
  <c r="K57" i="3"/>
  <c r="K37" i="3"/>
  <c r="K41" i="3"/>
  <c r="K53" i="3" s="1"/>
  <c r="K43" i="3"/>
  <c r="G19" i="3"/>
  <c r="K44" i="3"/>
  <c r="K45" i="3"/>
  <c r="K46" i="3"/>
  <c r="F20" i="3"/>
  <c r="K38" i="3"/>
  <c r="K39" i="3"/>
  <c r="E45" i="3" s="1"/>
  <c r="G53" i="3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7" i="3" s="1"/>
  <c r="G68" i="3" s="1"/>
  <c r="D16" i="2"/>
  <c r="D19" i="2"/>
  <c r="J19" i="3"/>
  <c r="E19" i="3"/>
  <c r="C32" i="2"/>
  <c r="C29" i="2"/>
  <c r="C34" i="2"/>
  <c r="C35" i="2"/>
  <c r="C33" i="2"/>
  <c r="C30" i="2"/>
  <c r="C31" i="2"/>
  <c r="C36" i="2"/>
  <c r="D33" i="2"/>
  <c r="D31" i="2"/>
  <c r="D30" i="2"/>
  <c r="C37" i="2"/>
  <c r="D32" i="2"/>
  <c r="D29" i="2"/>
  <c r="D35" i="2"/>
  <c r="C28" i="2"/>
  <c r="D34" i="2"/>
  <c r="D28" i="2"/>
  <c r="D37" i="2"/>
  <c r="D36" i="2"/>
  <c r="H20" i="3"/>
  <c r="E20" i="3"/>
  <c r="D20" i="3"/>
  <c r="G20" i="3"/>
  <c r="J20" i="3"/>
  <c r="I20" i="3"/>
  <c r="E17" i="3"/>
  <c r="J17" i="3"/>
  <c r="G17" i="3"/>
  <c r="H17" i="3"/>
  <c r="D17" i="3"/>
  <c r="F17" i="3"/>
  <c r="I19" i="3"/>
  <c r="F19" i="3"/>
  <c r="D19" i="3"/>
  <c r="D49" i="3"/>
  <c r="E42" i="3"/>
  <c r="I17" i="3"/>
  <c r="H19" i="3"/>
  <c r="E41" i="3"/>
  <c r="E43" i="3"/>
  <c r="E39" i="3"/>
  <c r="E44" i="3"/>
  <c r="K55" i="3" l="1"/>
  <c r="D52" i="3"/>
  <c r="E19" i="2" s="1"/>
  <c r="F19" i="2" s="1"/>
  <c r="D50" i="3"/>
  <c r="E16" i="2" s="1"/>
  <c r="F16" i="2" s="1"/>
  <c r="K58" i="3"/>
  <c r="K59" i="3" s="1"/>
  <c r="E40" i="3" s="1"/>
  <c r="D26" i="3" l="1"/>
  <c r="H28" i="3"/>
  <c r="I27" i="3"/>
  <c r="H26" i="3"/>
  <c r="E26" i="3"/>
  <c r="E32" i="3"/>
  <c r="F30" i="3"/>
  <c r="I28" i="3"/>
  <c r="H32" i="3"/>
  <c r="G31" i="3"/>
  <c r="F26" i="3"/>
  <c r="G28" i="3"/>
  <c r="I26" i="3"/>
  <c r="G26" i="3"/>
  <c r="H29" i="3"/>
  <c r="D31" i="3"/>
  <c r="F28" i="3"/>
  <c r="D29" i="3"/>
  <c r="J28" i="3"/>
  <c r="E28" i="3"/>
  <c r="D30" i="3"/>
  <c r="G27" i="3"/>
  <c r="D32" i="3"/>
  <c r="J32" i="3"/>
  <c r="G32" i="3"/>
  <c r="J27" i="3"/>
  <c r="D28" i="3"/>
  <c r="G29" i="3"/>
  <c r="H30" i="3"/>
  <c r="F32" i="3"/>
  <c r="F29" i="3"/>
  <c r="G30" i="3"/>
  <c r="E29" i="3"/>
  <c r="H27" i="3"/>
  <c r="J26" i="3"/>
  <c r="D27" i="3"/>
  <c r="F27" i="3"/>
  <c r="I29" i="3"/>
  <c r="E31" i="3"/>
  <c r="E27" i="3"/>
  <c r="I32" i="3"/>
  <c r="E30" i="3"/>
  <c r="F31" i="3"/>
  <c r="D106" i="3" l="1"/>
  <c r="D92" i="3"/>
  <c r="D78" i="3"/>
  <c r="G108" i="3"/>
  <c r="G94" i="3"/>
  <c r="G80" i="3"/>
  <c r="D82" i="3"/>
  <c r="D110" i="3"/>
  <c r="D96" i="3"/>
  <c r="H91" i="3"/>
  <c r="H105" i="3"/>
  <c r="H77" i="3"/>
  <c r="F110" i="3"/>
  <c r="F96" i="3"/>
  <c r="F82" i="3"/>
  <c r="E96" i="3"/>
  <c r="E110" i="3"/>
  <c r="E82" i="3"/>
  <c r="J91" i="3"/>
  <c r="J77" i="3"/>
  <c r="J105" i="3"/>
  <c r="F80" i="3"/>
  <c r="F108" i="3"/>
  <c r="F94" i="3"/>
  <c r="D107" i="3"/>
  <c r="D79" i="3"/>
  <c r="D93" i="3"/>
  <c r="D111" i="3"/>
  <c r="D97" i="3"/>
  <c r="D33" i="3"/>
  <c r="D34" i="3"/>
  <c r="D25" i="3"/>
  <c r="D83" i="3"/>
  <c r="J107" i="3"/>
  <c r="J79" i="3"/>
  <c r="J93" i="3"/>
  <c r="H94" i="3"/>
  <c r="H108" i="3"/>
  <c r="H80" i="3"/>
  <c r="F91" i="3"/>
  <c r="F77" i="3"/>
  <c r="F105" i="3"/>
  <c r="F109" i="3"/>
  <c r="F95" i="3"/>
  <c r="F81" i="3"/>
  <c r="I78" i="3"/>
  <c r="I92" i="3"/>
  <c r="I106" i="3"/>
  <c r="J111" i="3"/>
  <c r="J25" i="3"/>
  <c r="J33" i="3"/>
  <c r="J83" i="3"/>
  <c r="J97" i="3"/>
  <c r="J34" i="3"/>
  <c r="I93" i="3"/>
  <c r="I79" i="3"/>
  <c r="I107" i="3"/>
  <c r="H92" i="3"/>
  <c r="H78" i="3"/>
  <c r="H106" i="3"/>
  <c r="F97" i="3"/>
  <c r="F83" i="3"/>
  <c r="F34" i="3"/>
  <c r="F111" i="3"/>
  <c r="F25" i="3"/>
  <c r="F33" i="3"/>
  <c r="J78" i="3"/>
  <c r="J106" i="3"/>
  <c r="J92" i="3"/>
  <c r="G92" i="3"/>
  <c r="G106" i="3"/>
  <c r="G78" i="3"/>
  <c r="D80" i="3"/>
  <c r="D108" i="3"/>
  <c r="D94" i="3"/>
  <c r="G91" i="3"/>
  <c r="G77" i="3"/>
  <c r="G105" i="3"/>
  <c r="G96" i="3"/>
  <c r="G82" i="3"/>
  <c r="G110" i="3"/>
  <c r="E25" i="3"/>
  <c r="E34" i="3"/>
  <c r="E111" i="3"/>
  <c r="E83" i="3"/>
  <c r="E33" i="3"/>
  <c r="E97" i="3"/>
  <c r="H93" i="3"/>
  <c r="H107" i="3"/>
  <c r="H79" i="3"/>
  <c r="E92" i="3"/>
  <c r="E106" i="3"/>
  <c r="E78" i="3"/>
  <c r="G109" i="3"/>
  <c r="G81" i="3"/>
  <c r="G95" i="3"/>
  <c r="E107" i="3"/>
  <c r="E79" i="3"/>
  <c r="E93" i="3"/>
  <c r="G93" i="3"/>
  <c r="G107" i="3"/>
  <c r="G79" i="3"/>
  <c r="E109" i="3"/>
  <c r="E81" i="3"/>
  <c r="E95" i="3"/>
  <c r="I80" i="3"/>
  <c r="I108" i="3"/>
  <c r="I94" i="3"/>
  <c r="I33" i="3"/>
  <c r="I83" i="3"/>
  <c r="I25" i="3"/>
  <c r="I97" i="3"/>
  <c r="I34" i="3"/>
  <c r="I111" i="3"/>
  <c r="F92" i="3"/>
  <c r="F78" i="3"/>
  <c r="F106" i="3"/>
  <c r="E108" i="3"/>
  <c r="E94" i="3"/>
  <c r="E80" i="3"/>
  <c r="H81" i="3"/>
  <c r="H95" i="3"/>
  <c r="H109" i="3"/>
  <c r="G97" i="3"/>
  <c r="G34" i="3"/>
  <c r="G83" i="3"/>
  <c r="G111" i="3"/>
  <c r="G33" i="3"/>
  <c r="G25" i="3"/>
  <c r="D109" i="3"/>
  <c r="D95" i="3"/>
  <c r="D81" i="3"/>
  <c r="F93" i="3"/>
  <c r="F79" i="3"/>
  <c r="F107" i="3"/>
  <c r="I105" i="3"/>
  <c r="I91" i="3"/>
  <c r="I77" i="3"/>
  <c r="H97" i="3"/>
  <c r="H33" i="3"/>
  <c r="H25" i="3"/>
  <c r="H83" i="3"/>
  <c r="H111" i="3"/>
  <c r="H34" i="3"/>
  <c r="E77" i="3"/>
  <c r="E91" i="3"/>
  <c r="E105" i="3"/>
  <c r="D105" i="3"/>
  <c r="D77" i="3"/>
  <c r="D91" i="3"/>
  <c r="H125" i="3" l="1"/>
  <c r="Q97" i="3"/>
  <c r="M95" i="3"/>
  <c r="D123" i="3"/>
  <c r="H104" i="3"/>
  <c r="H76" i="3"/>
  <c r="H90" i="3"/>
  <c r="R91" i="3"/>
  <c r="I119" i="3"/>
  <c r="F121" i="3"/>
  <c r="O93" i="3"/>
  <c r="G76" i="3"/>
  <c r="G90" i="3"/>
  <c r="G104" i="3"/>
  <c r="G85" i="3"/>
  <c r="G99" i="3"/>
  <c r="G113" i="3"/>
  <c r="I113" i="3"/>
  <c r="I99" i="3"/>
  <c r="I85" i="3"/>
  <c r="I98" i="3"/>
  <c r="I112" i="3"/>
  <c r="I84" i="3"/>
  <c r="E123" i="3"/>
  <c r="N95" i="3"/>
  <c r="J120" i="3"/>
  <c r="S92" i="3"/>
  <c r="F104" i="3"/>
  <c r="F76" i="3"/>
  <c r="F90" i="3"/>
  <c r="F125" i="3"/>
  <c r="O97" i="3"/>
  <c r="J125" i="3"/>
  <c r="S97" i="3"/>
  <c r="H122" i="3"/>
  <c r="Q94" i="3"/>
  <c r="M97" i="3"/>
  <c r="D125" i="3"/>
  <c r="M96" i="3"/>
  <c r="D124" i="3"/>
  <c r="P94" i="3"/>
  <c r="G122" i="3"/>
  <c r="H99" i="3"/>
  <c r="H113" i="3"/>
  <c r="H85" i="3"/>
  <c r="H112" i="3"/>
  <c r="H84" i="3"/>
  <c r="H98" i="3"/>
  <c r="G98" i="3"/>
  <c r="G112" i="3"/>
  <c r="G84" i="3"/>
  <c r="G125" i="3"/>
  <c r="P97" i="3"/>
  <c r="R97" i="3"/>
  <c r="I125" i="3"/>
  <c r="R94" i="3"/>
  <c r="I122" i="3"/>
  <c r="G121" i="3"/>
  <c r="P93" i="3"/>
  <c r="P95" i="3"/>
  <c r="G123" i="3"/>
  <c r="Q93" i="3"/>
  <c r="H121" i="3"/>
  <c r="G119" i="3"/>
  <c r="P91" i="3"/>
  <c r="O95" i="3"/>
  <c r="F123" i="3"/>
  <c r="F119" i="3"/>
  <c r="O91" i="3"/>
  <c r="J121" i="3"/>
  <c r="S93" i="3"/>
  <c r="D76" i="3"/>
  <c r="D90" i="3"/>
  <c r="D104" i="3"/>
  <c r="O94" i="3"/>
  <c r="F122" i="3"/>
  <c r="E124" i="3"/>
  <c r="N96" i="3"/>
  <c r="E122" i="3"/>
  <c r="N94" i="3"/>
  <c r="O92" i="3"/>
  <c r="F120" i="3"/>
  <c r="I76" i="3"/>
  <c r="I104" i="3"/>
  <c r="I90" i="3"/>
  <c r="E121" i="3"/>
  <c r="N93" i="3"/>
  <c r="E120" i="3"/>
  <c r="N92" i="3"/>
  <c r="N97" i="3"/>
  <c r="E125" i="3"/>
  <c r="E113" i="3"/>
  <c r="E85" i="3"/>
  <c r="E99" i="3"/>
  <c r="P96" i="3"/>
  <c r="G124" i="3"/>
  <c r="D122" i="3"/>
  <c r="M94" i="3"/>
  <c r="F113" i="3"/>
  <c r="F99" i="3"/>
  <c r="F85" i="3"/>
  <c r="R93" i="3"/>
  <c r="I121" i="3"/>
  <c r="J98" i="3"/>
  <c r="J84" i="3"/>
  <c r="J112" i="3"/>
  <c r="I120" i="3"/>
  <c r="R92" i="3"/>
  <c r="D99" i="3"/>
  <c r="D85" i="3"/>
  <c r="D113" i="3"/>
  <c r="D121" i="3"/>
  <c r="M93" i="3"/>
  <c r="J119" i="3"/>
  <c r="S91" i="3"/>
  <c r="D119" i="3"/>
  <c r="M91" i="3"/>
  <c r="E119" i="3"/>
  <c r="N91" i="3"/>
  <c r="H123" i="3"/>
  <c r="Q95" i="3"/>
  <c r="E112" i="3"/>
  <c r="E84" i="3"/>
  <c r="E98" i="3"/>
  <c r="E90" i="3"/>
  <c r="E76" i="3"/>
  <c r="E104" i="3"/>
  <c r="G120" i="3"/>
  <c r="P92" i="3"/>
  <c r="F112" i="3"/>
  <c r="F84" i="3"/>
  <c r="F98" i="3"/>
  <c r="Q92" i="3"/>
  <c r="H120" i="3"/>
  <c r="J99" i="3"/>
  <c r="J85" i="3"/>
  <c r="J113" i="3"/>
  <c r="J90" i="3"/>
  <c r="J76" i="3"/>
  <c r="J104" i="3"/>
  <c r="D98" i="3"/>
  <c r="D84" i="3"/>
  <c r="D112" i="3"/>
  <c r="O96" i="3"/>
  <c r="F124" i="3"/>
  <c r="H119" i="3"/>
  <c r="Q91" i="3"/>
  <c r="M92" i="3"/>
  <c r="D120" i="3"/>
  <c r="D126" i="3" l="1"/>
  <c r="M98" i="3"/>
  <c r="N90" i="3"/>
  <c r="E118" i="3"/>
  <c r="M105" i="3"/>
  <c r="M119" i="3" s="1"/>
  <c r="M133" i="3"/>
  <c r="M147" i="3" s="1"/>
  <c r="M135" i="3"/>
  <c r="M149" i="3" s="1"/>
  <c r="M107" i="3"/>
  <c r="M121" i="3" s="1"/>
  <c r="I118" i="3"/>
  <c r="R90" i="3"/>
  <c r="M90" i="3"/>
  <c r="D118" i="3"/>
  <c r="G126" i="3"/>
  <c r="P98" i="3"/>
  <c r="R98" i="3"/>
  <c r="I126" i="3"/>
  <c r="G118" i="3"/>
  <c r="P90" i="3"/>
  <c r="O98" i="3"/>
  <c r="F126" i="3"/>
  <c r="E126" i="3"/>
  <c r="N98" i="3"/>
  <c r="J126" i="3"/>
  <c r="S98" i="3"/>
  <c r="P109" i="3"/>
  <c r="P123" i="3" s="1"/>
  <c r="P137" i="3"/>
  <c r="P151" i="3" s="1"/>
  <c r="H126" i="3"/>
  <c r="Q98" i="3"/>
  <c r="Q133" i="3"/>
  <c r="Q147" i="3" s="1"/>
  <c r="Q105" i="3"/>
  <c r="Q119" i="3" s="1"/>
  <c r="S99" i="3"/>
  <c r="J127" i="3"/>
  <c r="N133" i="3"/>
  <c r="N147" i="3" s="1"/>
  <c r="N105" i="3"/>
  <c r="N119" i="3" s="1"/>
  <c r="S105" i="3"/>
  <c r="S119" i="3" s="1"/>
  <c r="S133" i="3"/>
  <c r="S147" i="3" s="1"/>
  <c r="P110" i="3"/>
  <c r="P124" i="3" s="1"/>
  <c r="P138" i="3"/>
  <c r="P152" i="3" s="1"/>
  <c r="N107" i="3"/>
  <c r="N121" i="3" s="1"/>
  <c r="N135" i="3"/>
  <c r="N149" i="3" s="1"/>
  <c r="O108" i="3"/>
  <c r="O122" i="3" s="1"/>
  <c r="O136" i="3"/>
  <c r="O150" i="3" s="1"/>
  <c r="S107" i="3"/>
  <c r="S121" i="3" s="1"/>
  <c r="S135" i="3"/>
  <c r="S149" i="3" s="1"/>
  <c r="P135" i="3"/>
  <c r="P149" i="3" s="1"/>
  <c r="P107" i="3"/>
  <c r="P121" i="3" s="1"/>
  <c r="H127" i="3"/>
  <c r="Q99" i="3"/>
  <c r="M138" i="3"/>
  <c r="M152" i="3" s="1"/>
  <c r="M110" i="3"/>
  <c r="M124" i="3" s="1"/>
  <c r="S106" i="3"/>
  <c r="S120" i="3" s="1"/>
  <c r="S134" i="3"/>
  <c r="S148" i="3" s="1"/>
  <c r="R99" i="3"/>
  <c r="I127" i="3"/>
  <c r="O135" i="3"/>
  <c r="O149" i="3" s="1"/>
  <c r="O107" i="3"/>
  <c r="O121" i="3" s="1"/>
  <c r="H118" i="3"/>
  <c r="Q90" i="3"/>
  <c r="M137" i="3"/>
  <c r="M151" i="3" s="1"/>
  <c r="M109" i="3"/>
  <c r="M123" i="3" s="1"/>
  <c r="Q134" i="3"/>
  <c r="Q148" i="3" s="1"/>
  <c r="Q106" i="3"/>
  <c r="Q120" i="3" s="1"/>
  <c r="P106" i="3"/>
  <c r="P120" i="3" s="1"/>
  <c r="P134" i="3"/>
  <c r="P148" i="3" s="1"/>
  <c r="Q109" i="3"/>
  <c r="Q123" i="3" s="1"/>
  <c r="Q137" i="3"/>
  <c r="Q151" i="3" s="1"/>
  <c r="D127" i="3"/>
  <c r="M99" i="3"/>
  <c r="N134" i="3"/>
  <c r="N148" i="3" s="1"/>
  <c r="N106" i="3"/>
  <c r="N120" i="3" s="1"/>
  <c r="O106" i="3"/>
  <c r="O120" i="3" s="1"/>
  <c r="O134" i="3"/>
  <c r="O148" i="3" s="1"/>
  <c r="O133" i="3"/>
  <c r="O147" i="3" s="1"/>
  <c r="O105" i="3"/>
  <c r="O119" i="3" s="1"/>
  <c r="P105" i="3"/>
  <c r="P119" i="3" s="1"/>
  <c r="P133" i="3"/>
  <c r="P147" i="3" s="1"/>
  <c r="P139" i="3"/>
  <c r="P153" i="3" s="1"/>
  <c r="P111" i="3"/>
  <c r="P125" i="3" s="1"/>
  <c r="P136" i="3"/>
  <c r="P150" i="3" s="1"/>
  <c r="P108" i="3"/>
  <c r="P122" i="3" s="1"/>
  <c r="M139" i="3"/>
  <c r="M153" i="3" s="1"/>
  <c r="M111" i="3"/>
  <c r="M125" i="3" s="1"/>
  <c r="N109" i="3"/>
  <c r="N123" i="3" s="1"/>
  <c r="N137" i="3"/>
  <c r="N151" i="3" s="1"/>
  <c r="M134" i="3"/>
  <c r="M148" i="3" s="1"/>
  <c r="M106" i="3"/>
  <c r="M120" i="3" s="1"/>
  <c r="O110" i="3"/>
  <c r="O124" i="3" s="1"/>
  <c r="O138" i="3"/>
  <c r="O152" i="3" s="1"/>
  <c r="R106" i="3"/>
  <c r="R120" i="3" s="1"/>
  <c r="R134" i="3"/>
  <c r="R148" i="3" s="1"/>
  <c r="F127" i="3"/>
  <c r="O99" i="3"/>
  <c r="N136" i="3"/>
  <c r="N150" i="3" s="1"/>
  <c r="N108" i="3"/>
  <c r="N122" i="3" s="1"/>
  <c r="R108" i="3"/>
  <c r="R122" i="3" s="1"/>
  <c r="R136" i="3"/>
  <c r="R150" i="3" s="1"/>
  <c r="Q108" i="3"/>
  <c r="Q122" i="3" s="1"/>
  <c r="Q136" i="3"/>
  <c r="Q150" i="3" s="1"/>
  <c r="O111" i="3"/>
  <c r="O125" i="3" s="1"/>
  <c r="O139" i="3"/>
  <c r="O153" i="3" s="1"/>
  <c r="P99" i="3"/>
  <c r="G127" i="3"/>
  <c r="R105" i="3"/>
  <c r="R119" i="3" s="1"/>
  <c r="R133" i="3"/>
  <c r="R147" i="3" s="1"/>
  <c r="J118" i="3"/>
  <c r="S90" i="3"/>
  <c r="R107" i="3"/>
  <c r="R121" i="3" s="1"/>
  <c r="R135" i="3"/>
  <c r="R149" i="3" s="1"/>
  <c r="M136" i="3"/>
  <c r="M150" i="3" s="1"/>
  <c r="M108" i="3"/>
  <c r="M122" i="3" s="1"/>
  <c r="N99" i="3"/>
  <c r="E127" i="3"/>
  <c r="N111" i="3"/>
  <c r="N125" i="3" s="1"/>
  <c r="N139" i="3"/>
  <c r="N153" i="3" s="1"/>
  <c r="N110" i="3"/>
  <c r="N124" i="3" s="1"/>
  <c r="N138" i="3"/>
  <c r="N152" i="3" s="1"/>
  <c r="O109" i="3"/>
  <c r="O123" i="3" s="1"/>
  <c r="O137" i="3"/>
  <c r="O151" i="3" s="1"/>
  <c r="Q107" i="3"/>
  <c r="Q121" i="3" s="1"/>
  <c r="Q135" i="3"/>
  <c r="Q149" i="3" s="1"/>
  <c r="R139" i="3"/>
  <c r="R153" i="3" s="1"/>
  <c r="R111" i="3"/>
  <c r="R125" i="3" s="1"/>
  <c r="S139" i="3"/>
  <c r="S153" i="3" s="1"/>
  <c r="S111" i="3"/>
  <c r="S125" i="3" s="1"/>
  <c r="F118" i="3"/>
  <c r="O90" i="3"/>
  <c r="Q111" i="3"/>
  <c r="Q125" i="3" s="1"/>
  <c r="Q139" i="3"/>
  <c r="Q153" i="3" s="1"/>
  <c r="O113" i="3" l="1"/>
  <c r="O127" i="3" s="1"/>
  <c r="O141" i="3"/>
  <c r="O155" i="3" s="1"/>
  <c r="M141" i="3"/>
  <c r="M155" i="3" s="1"/>
  <c r="M113" i="3"/>
  <c r="M127" i="3" s="1"/>
  <c r="Q141" i="3"/>
  <c r="Q155" i="3" s="1"/>
  <c r="Q113" i="3"/>
  <c r="Q127" i="3" s="1"/>
  <c r="Q140" i="3"/>
  <c r="Q154" i="3" s="1"/>
  <c r="Q112" i="3"/>
  <c r="Q126" i="3" s="1"/>
  <c r="S140" i="3"/>
  <c r="S154" i="3" s="1"/>
  <c r="S112" i="3"/>
  <c r="S126" i="3" s="1"/>
  <c r="N113" i="3"/>
  <c r="N127" i="3" s="1"/>
  <c r="N141" i="3"/>
  <c r="N155" i="3" s="1"/>
  <c r="S113" i="3"/>
  <c r="S127" i="3" s="1"/>
  <c r="S141" i="3"/>
  <c r="S155" i="3" s="1"/>
  <c r="O140" i="3"/>
  <c r="O154" i="3" s="1"/>
  <c r="O112" i="3"/>
  <c r="O126" i="3" s="1"/>
  <c r="R112" i="3"/>
  <c r="R126" i="3" s="1"/>
  <c r="R140" i="3"/>
  <c r="R154" i="3" s="1"/>
  <c r="M104" i="3"/>
  <c r="M118" i="3" s="1"/>
  <c r="M132" i="3"/>
  <c r="M146" i="3" s="1"/>
  <c r="N104" i="3"/>
  <c r="N118" i="3" s="1"/>
  <c r="N132" i="3"/>
  <c r="N146" i="3" s="1"/>
  <c r="P141" i="3"/>
  <c r="P155" i="3" s="1"/>
  <c r="P113" i="3"/>
  <c r="P127" i="3" s="1"/>
  <c r="R113" i="3"/>
  <c r="R127" i="3" s="1"/>
  <c r="R141" i="3"/>
  <c r="R155" i="3" s="1"/>
  <c r="O104" i="3"/>
  <c r="O118" i="3" s="1"/>
  <c r="O132" i="3"/>
  <c r="O146" i="3" s="1"/>
  <c r="S132" i="3"/>
  <c r="S146" i="3" s="1"/>
  <c r="S104" i="3"/>
  <c r="S118" i="3" s="1"/>
  <c r="Q132" i="3"/>
  <c r="Q146" i="3" s="1"/>
  <c r="Q104" i="3"/>
  <c r="Q118" i="3" s="1"/>
  <c r="N140" i="3"/>
  <c r="N154" i="3" s="1"/>
  <c r="N112" i="3"/>
  <c r="N126" i="3" s="1"/>
  <c r="P132" i="3"/>
  <c r="P146" i="3" s="1"/>
  <c r="P104" i="3"/>
  <c r="P118" i="3" s="1"/>
  <c r="P140" i="3"/>
  <c r="P154" i="3" s="1"/>
  <c r="P112" i="3"/>
  <c r="P126" i="3" s="1"/>
  <c r="R104" i="3"/>
  <c r="R118" i="3" s="1"/>
  <c r="R132" i="3"/>
  <c r="R146" i="3" s="1"/>
  <c r="M112" i="3"/>
  <c r="M126" i="3" s="1"/>
  <c r="M140" i="3"/>
  <c r="M154" i="3" s="1"/>
</calcChain>
</file>

<file path=xl/sharedStrings.xml><?xml version="1.0" encoding="utf-8"?>
<sst xmlns="http://schemas.openxmlformats.org/spreadsheetml/2006/main" count="369" uniqueCount="133">
  <si>
    <t>New MPRs</t>
  </si>
  <si>
    <t>Country Risk Category</t>
  </si>
  <si>
    <t>Coefficient, Constant and Factor Values for Selected Inputs</t>
  </si>
  <si>
    <t>Buyer Risk Category</t>
  </si>
  <si>
    <t>BTS</t>
  </si>
  <si>
    <t>Repayment Period (Years)</t>
  </si>
  <si>
    <t>Horizon of Risk (HOR)</t>
  </si>
  <si>
    <t>CC1</t>
  </si>
  <si>
    <t>Buyer Risk Percentage of Cover (PCC)</t>
  </si>
  <si>
    <t>Constant "b"</t>
  </si>
  <si>
    <t>CC2</t>
  </si>
  <si>
    <t>Political Risk Percentage Cover (PCP)</t>
  </si>
  <si>
    <t>Coefficient "c"</t>
  </si>
  <si>
    <t>CC3</t>
  </si>
  <si>
    <t>Quality of Product Factor (QPF)</t>
  </si>
  <si>
    <t>CC4</t>
  </si>
  <si>
    <t>Percentage of Cover Factor (PCF)</t>
  </si>
  <si>
    <t>CC5</t>
  </si>
  <si>
    <t>Better Than Sovereign Factor (BTSF)</t>
  </si>
  <si>
    <t>Coefficients / Constants</t>
  </si>
  <si>
    <t>a</t>
  </si>
  <si>
    <t>b</t>
  </si>
  <si>
    <t>c</t>
  </si>
  <si>
    <t>quality of product coefficient</t>
  </si>
  <si>
    <t>percentage of cover coefficient</t>
  </si>
  <si>
    <t>Cover of interest in waiting period</t>
  </si>
  <si>
    <t>N</t>
  </si>
  <si>
    <t>Cover in foreign curreny</t>
  </si>
  <si>
    <t>COFC</t>
  </si>
  <si>
    <t>Disbursement Period (Months)</t>
  </si>
  <si>
    <t>Number of instalments per year</t>
  </si>
  <si>
    <t>Calculation basis</t>
  </si>
  <si>
    <t>Premium %</t>
  </si>
  <si>
    <t>Premium Amount</t>
  </si>
  <si>
    <t>Premium rate WHEN financed</t>
  </si>
  <si>
    <t>Financed amount</t>
  </si>
  <si>
    <t>Financed Man Fee</t>
  </si>
  <si>
    <t>Premium rate when NOT financed</t>
  </si>
  <si>
    <t>SOV1</t>
  </si>
  <si>
    <t>SOV2</t>
  </si>
  <si>
    <t>SOV3</t>
  </si>
  <si>
    <t>CC0</t>
  </si>
  <si>
    <t>AAA to AA-</t>
  </si>
  <si>
    <t>A+ to A-</t>
  </si>
  <si>
    <t>BBB+ to BBB-</t>
  </si>
  <si>
    <t>BB+ to BB</t>
  </si>
  <si>
    <t>BB-</t>
  </si>
  <si>
    <t>B+</t>
  </si>
  <si>
    <t>B</t>
  </si>
  <si>
    <t>B- or worse</t>
  </si>
  <si>
    <t>. / .</t>
  </si>
  <si>
    <t>BB- or worse</t>
  </si>
  <si>
    <t>B+ or worse</t>
  </si>
  <si>
    <t>B or worse</t>
  </si>
  <si>
    <r>
      <t>QPF</t>
    </r>
    <r>
      <rPr>
        <b/>
        <vertAlign val="subscript"/>
        <sz val="10"/>
        <rFont val="Arial"/>
        <family val="2"/>
      </rPr>
      <t xml:space="preserve">i
</t>
    </r>
    <r>
      <rPr>
        <sz val="10"/>
        <rFont val="Arial"/>
        <family val="2"/>
      </rPr>
      <t>(for selected PQ)</t>
    </r>
  </si>
  <si>
    <r>
      <t>PCF</t>
    </r>
    <r>
      <rPr>
        <b/>
        <vertAlign val="subscript"/>
        <sz val="10"/>
        <rFont val="Arial"/>
        <family val="2"/>
      </rPr>
      <t xml:space="preserve">i
</t>
    </r>
    <r>
      <rPr>
        <sz val="10"/>
        <rFont val="Arial"/>
        <family val="2"/>
      </rPr>
      <t>(for selected PC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</t>
    </r>
  </si>
  <si>
    <t>Coefficient "a"</t>
  </si>
  <si>
    <t>calcul X</t>
  </si>
  <si>
    <t>Valeurs forfaitaires de X</t>
  </si>
  <si>
    <t>durée</t>
  </si>
  <si>
    <t>X</t>
  </si>
  <si>
    <t>disburs</t>
  </si>
  <si>
    <t>crédit</t>
  </si>
  <si>
    <t>x- forfaitaires</t>
  </si>
  <si>
    <t>x</t>
  </si>
  <si>
    <t>tot</t>
  </si>
  <si>
    <t>disb. years</t>
  </si>
  <si>
    <t>Y</t>
  </si>
  <si>
    <t>premium not financed</t>
  </si>
  <si>
    <t>premium financed</t>
  </si>
  <si>
    <t xml:space="preserve">                                         Insolvency of the debtor</t>
  </si>
  <si>
    <t>Option</t>
  </si>
  <si>
    <t>Political</t>
  </si>
  <si>
    <t>Public</t>
  </si>
  <si>
    <t>Private</t>
  </si>
  <si>
    <t>Risk</t>
  </si>
  <si>
    <t>Entities</t>
  </si>
  <si>
    <t>Company</t>
  </si>
  <si>
    <t>Bank</t>
  </si>
  <si>
    <r>
      <t xml:space="preserve">BTS   : </t>
    </r>
    <r>
      <rPr>
        <sz val="10"/>
        <rFont val="Arial"/>
        <family val="2"/>
      </rPr>
      <t>Better Than Sovereign</t>
    </r>
  </si>
  <si>
    <r>
      <t xml:space="preserve">SOV1 : </t>
    </r>
    <r>
      <rPr>
        <sz val="10"/>
        <rFont val="Arial"/>
        <family val="2"/>
      </rPr>
      <t>Ministry of Finance and Central Bank</t>
    </r>
  </si>
  <si>
    <r>
      <t xml:space="preserve">SOV2 : </t>
    </r>
    <r>
      <rPr>
        <sz val="10"/>
        <rFont val="Arial"/>
        <family val="2"/>
      </rPr>
      <t>Public banks, other than Central Bank</t>
    </r>
  </si>
  <si>
    <r>
      <t xml:space="preserve">SOV3 : </t>
    </r>
    <r>
      <rPr>
        <sz val="10"/>
        <rFont val="Arial"/>
        <family val="2"/>
      </rPr>
      <t>All other public entities</t>
    </r>
  </si>
  <si>
    <r>
      <t xml:space="preserve">CC2  : </t>
    </r>
    <r>
      <rPr>
        <sz val="10"/>
        <rFont val="Arial"/>
        <family val="2"/>
      </rPr>
      <t>Very Good Credit Quality</t>
    </r>
  </si>
  <si>
    <r>
      <t xml:space="preserve">CC3  : </t>
    </r>
    <r>
      <rPr>
        <sz val="10"/>
        <rFont val="Arial"/>
        <family val="2"/>
      </rPr>
      <t>Good to Moderately Good Credit Quality</t>
    </r>
  </si>
  <si>
    <r>
      <t xml:space="preserve">CC4  : </t>
    </r>
    <r>
      <rPr>
        <sz val="10"/>
        <rFont val="Arial"/>
        <family val="2"/>
      </rPr>
      <t>Moderate Credit Quality</t>
    </r>
  </si>
  <si>
    <r>
      <t xml:space="preserve">CC5  : </t>
    </r>
    <r>
      <rPr>
        <sz val="10"/>
        <rFont val="Arial"/>
        <family val="2"/>
      </rPr>
      <t>Moderately Weak to Weak Credit Quality</t>
    </r>
  </si>
  <si>
    <r>
      <t xml:space="preserve">CC0  : </t>
    </r>
    <r>
      <rPr>
        <sz val="10"/>
        <rFont val="Arial"/>
        <family val="2"/>
      </rPr>
      <t>Equivalent to the Sovereign, corporates with Exceptionally Good Credit Quality</t>
    </r>
  </si>
  <si>
    <t>Buyer Risk Percentage of Cover</t>
  </si>
  <si>
    <t>Political Risk Percentage Cover</t>
  </si>
  <si>
    <t>Please note that this is a non-binding premium calculation provided for your convenience.</t>
  </si>
  <si>
    <t>Country Risk OECD-Category</t>
  </si>
  <si>
    <t>The disbursement period is the timeframe in which the borrower can draw on the loan.</t>
  </si>
  <si>
    <t>The credit period must be at least 2 years, as the calculator is intended for export transactions with credit periods of more than two years.</t>
  </si>
  <si>
    <t>INPUT</t>
  </si>
  <si>
    <t>RATING CONVERTER</t>
  </si>
  <si>
    <t>Percentage of cover options</t>
  </si>
  <si>
    <t>NOT FINANCED</t>
  </si>
  <si>
    <t>Management fee included</t>
  </si>
  <si>
    <t>FINANCED</t>
  </si>
  <si>
    <t>Management not included</t>
  </si>
  <si>
    <t>sup fin management fee</t>
  </si>
  <si>
    <t>BTS: Better Than Sovereign</t>
  </si>
  <si>
    <t>SOV3: other public entities (former PP3)</t>
  </si>
  <si>
    <t>SOV2: other public banks (former PP2)</t>
  </si>
  <si>
    <t>SOV1: Ministry of Finance and Central Bank (former PP1)</t>
  </si>
  <si>
    <t>CC5: Moderately Weak to Weak Credit Quality</t>
  </si>
  <si>
    <t>CC4: Moderate Credit Quality</t>
  </si>
  <si>
    <t>CC3: Good to Moderately Good Credit Quality</t>
  </si>
  <si>
    <t>CC2: Very Good Credit Quality</t>
  </si>
  <si>
    <t>CC0: Equivalent to the Sovereign, corporate entities with Exceptionally Good Credit Quality</t>
  </si>
  <si>
    <t>not financed</t>
  </si>
  <si>
    <t>financed</t>
  </si>
  <si>
    <t/>
  </si>
  <si>
    <t>Results based on the input given above</t>
  </si>
  <si>
    <t>N/A</t>
  </si>
  <si>
    <r>
      <t xml:space="preserve">CC1  : </t>
    </r>
    <r>
      <rPr>
        <sz val="10"/>
        <rFont val="Arial"/>
        <family val="2"/>
      </rPr>
      <t>Exceptionally Good Credit Quality</t>
    </r>
  </si>
  <si>
    <t>CC1: Exceptionally Good Credit Quality</t>
  </si>
  <si>
    <t>months</t>
  </si>
  <si>
    <t>completed application.</t>
  </si>
  <si>
    <t>The ability to obtain an estimate by using this calculator does not imply in any way</t>
  </si>
  <si>
    <t>Indicative premium percentages for "all Buyer Risk Categories" based on the input given above</t>
  </si>
  <si>
    <t>premium %</t>
  </si>
  <si>
    <t>For categorie zero countries, please contact Credendo.</t>
  </si>
  <si>
    <t>The number of repayments per year is set to two by default, because the repayment interval for Credendo-guaranteed loans must generally be a maximum of six months.</t>
  </si>
  <si>
    <t>Set to 90 % by default, as this is Credendo's standard product. Credendo covers between 75 and 95 % for private companies and between 80 and 98 % for private banks.</t>
  </si>
  <si>
    <t>Set to 95 % of the credit amount by default, as this is Credendo's standard product. Credendo covers between 80 and 98 % of the political risk.</t>
  </si>
  <si>
    <t>The actual premium rate will only be determined by Credendo upon approval of a</t>
  </si>
  <si>
    <t xml:space="preserve">Credendo's willingness to approve any transaction for the selected country or otherwise. </t>
  </si>
  <si>
    <t>Cover in foreign currency is only plossible for currencies acceptable for Credendo, as : AUD, CAD, CHF, DKK, GBP, HKD, KRW, NOK, SEK, USD and YEN.</t>
  </si>
  <si>
    <t>Cover of interest in the waiting period is part of Credendo's standard product.</t>
  </si>
  <si>
    <t>See Rating Converter below, the final rating will be determinated by Credendo.</t>
  </si>
  <si>
    <t>à supprimer / CCLA 12/02/2019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</si>
</sst>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"/>
    <numFmt numFmtId="167" formatCode="0.00000"/>
    <numFmt numFmtId="168" formatCode="#,##0.0000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u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theme="6" tint="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2" borderId="1" xfId="0" applyFont="1" applyFill="1" applyBorder="1"/>
    <xf numFmtId="0" fontId="7" fillId="2" borderId="0" xfId="0" applyFont="1" applyFill="1" applyBorder="1"/>
    <xf numFmtId="0" fontId="7" fillId="2" borderId="2" xfId="0" applyFont="1" applyFill="1" applyBorder="1"/>
    <xf numFmtId="0" fontId="7" fillId="0" borderId="0" xfId="0" applyFont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164" fontId="7" fillId="4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7" fontId="8" fillId="0" borderId="19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right" vertical="center" indent="1"/>
    </xf>
    <xf numFmtId="0" fontId="7" fillId="3" borderId="25" xfId="0" applyFont="1" applyFill="1" applyBorder="1" applyAlignment="1">
      <alignment horizontal="center" vertical="center"/>
    </xf>
    <xf numFmtId="164" fontId="7" fillId="5" borderId="26" xfId="0" applyNumberFormat="1" applyFont="1" applyFill="1" applyBorder="1" applyAlignment="1">
      <alignment horizontal="center" vertical="center"/>
    </xf>
    <xf numFmtId="165" fontId="7" fillId="5" borderId="27" xfId="0" applyNumberFormat="1" applyFont="1" applyFill="1" applyBorder="1" applyAlignment="1">
      <alignment horizontal="center" vertical="center" wrapText="1"/>
    </xf>
    <xf numFmtId="2" fontId="7" fillId="5" borderId="27" xfId="0" applyNumberFormat="1" applyFont="1" applyFill="1" applyBorder="1" applyAlignment="1">
      <alignment horizontal="center" vertical="center"/>
    </xf>
    <xf numFmtId="164" fontId="7" fillId="5" borderId="27" xfId="0" applyNumberFormat="1" applyFont="1" applyFill="1" applyBorder="1" applyAlignment="1">
      <alignment horizontal="center" vertical="center"/>
    </xf>
    <xf numFmtId="165" fontId="7" fillId="5" borderId="27" xfId="0" applyNumberFormat="1" applyFont="1" applyFill="1" applyBorder="1" applyAlignment="1">
      <alignment horizontal="center" vertical="center"/>
    </xf>
    <xf numFmtId="166" fontId="7" fillId="5" borderId="28" xfId="0" applyNumberFormat="1" applyFont="1" applyFill="1" applyBorder="1" applyAlignment="1">
      <alignment horizontal="center" vertical="center"/>
    </xf>
    <xf numFmtId="0" fontId="7" fillId="3" borderId="2" xfId="0" applyFont="1" applyFill="1" applyBorder="1"/>
    <xf numFmtId="0" fontId="7" fillId="3" borderId="0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7" fillId="3" borderId="29" xfId="0" applyFont="1" applyFill="1" applyBorder="1" applyAlignment="1">
      <alignment horizontal="left" vertical="center" indent="1"/>
    </xf>
    <xf numFmtId="0" fontId="7" fillId="3" borderId="30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7" fillId="3" borderId="31" xfId="0" applyFont="1" applyFill="1" applyBorder="1" applyAlignment="1">
      <alignment horizontal="left" vertical="center" indent="1"/>
    </xf>
    <xf numFmtId="0" fontId="7" fillId="3" borderId="32" xfId="0" applyFont="1" applyFill="1" applyBorder="1"/>
    <xf numFmtId="0" fontId="7" fillId="3" borderId="33" xfId="0" applyFont="1" applyFill="1" applyBorder="1" applyAlignment="1">
      <alignment horizontal="left" vertical="center" indent="1"/>
    </xf>
    <xf numFmtId="0" fontId="7" fillId="3" borderId="34" xfId="0" applyFont="1" applyFill="1" applyBorder="1" applyAlignment="1">
      <alignment horizontal="left" vertical="center" indent="1"/>
    </xf>
    <xf numFmtId="0" fontId="7" fillId="3" borderId="35" xfId="0" applyFont="1" applyFill="1" applyBorder="1" applyAlignment="1">
      <alignment horizontal="left" vertical="center" indent="1"/>
    </xf>
    <xf numFmtId="0" fontId="7" fillId="3" borderId="36" xfId="0" applyFont="1" applyFill="1" applyBorder="1" applyAlignment="1">
      <alignment horizontal="left" vertical="center" indent="1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7" fillId="0" borderId="0" xfId="0" applyNumberFormat="1" applyFont="1"/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quotePrefix="1" applyNumberFormat="1" applyFont="1" applyBorder="1" applyAlignment="1">
      <alignment horizontal="center"/>
    </xf>
    <xf numFmtId="165" fontId="13" fillId="6" borderId="49" xfId="0" applyNumberFormat="1" applyFont="1" applyFill="1" applyBorder="1" applyAlignment="1"/>
    <xf numFmtId="0" fontId="7" fillId="6" borderId="1" xfId="0" applyNumberFormat="1" applyFont="1" applyFill="1" applyBorder="1"/>
    <xf numFmtId="0" fontId="7" fillId="6" borderId="50" xfId="0" applyNumberFormat="1" applyFont="1" applyFill="1" applyBorder="1"/>
    <xf numFmtId="0" fontId="14" fillId="6" borderId="29" xfId="0" applyNumberFormat="1" applyFont="1" applyFill="1" applyBorder="1"/>
    <xf numFmtId="0" fontId="7" fillId="6" borderId="0" xfId="0" applyNumberFormat="1" applyFont="1" applyFill="1" applyBorder="1"/>
    <xf numFmtId="0" fontId="7" fillId="6" borderId="51" xfId="0" applyNumberFormat="1" applyFont="1" applyFill="1" applyBorder="1"/>
    <xf numFmtId="0" fontId="7" fillId="6" borderId="29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0" fontId="7" fillId="6" borderId="29" xfId="0" applyNumberFormat="1" applyFont="1" applyFill="1" applyBorder="1"/>
    <xf numFmtId="165" fontId="7" fillId="6" borderId="0" xfId="0" applyNumberFormat="1" applyFont="1" applyFill="1" applyBorder="1" applyAlignment="1"/>
    <xf numFmtId="166" fontId="7" fillId="6" borderId="51" xfId="0" applyNumberFormat="1" applyFont="1" applyFill="1" applyBorder="1" applyAlignment="1">
      <alignment horizontal="center"/>
    </xf>
    <xf numFmtId="0" fontId="14" fillId="6" borderId="51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right"/>
    </xf>
    <xf numFmtId="165" fontId="7" fillId="6" borderId="51" xfId="0" applyNumberFormat="1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165" fontId="14" fillId="6" borderId="51" xfId="0" applyNumberFormat="1" applyFont="1" applyFill="1" applyBorder="1" applyAlignment="1">
      <alignment horizontal="center"/>
    </xf>
    <xf numFmtId="165" fontId="3" fillId="6" borderId="51" xfId="0" applyNumberFormat="1" applyFont="1" applyFill="1" applyBorder="1" applyAlignment="1">
      <alignment horizontal="center"/>
    </xf>
    <xf numFmtId="2" fontId="7" fillId="6" borderId="51" xfId="0" applyNumberFormat="1" applyFont="1" applyFill="1" applyBorder="1" applyAlignment="1">
      <alignment horizontal="left"/>
    </xf>
    <xf numFmtId="2" fontId="7" fillId="6" borderId="51" xfId="0" applyNumberFormat="1" applyFont="1" applyFill="1" applyBorder="1" applyAlignment="1">
      <alignment horizontal="center"/>
    </xf>
    <xf numFmtId="0" fontId="7" fillId="6" borderId="51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left"/>
    </xf>
    <xf numFmtId="0" fontId="14" fillId="6" borderId="0" xfId="0" applyNumberFormat="1" applyFont="1" applyFill="1" applyBorder="1" applyAlignment="1">
      <alignment horizontal="center"/>
    </xf>
    <xf numFmtId="0" fontId="7" fillId="6" borderId="30" xfId="0" applyNumberFormat="1" applyFont="1" applyFill="1" applyBorder="1"/>
    <xf numFmtId="0" fontId="7" fillId="6" borderId="2" xfId="0" applyNumberFormat="1" applyFont="1" applyFill="1" applyBorder="1"/>
    <xf numFmtId="0" fontId="7" fillId="6" borderId="52" xfId="0" applyNumberFormat="1" applyFont="1" applyFill="1" applyBorder="1"/>
    <xf numFmtId="2" fontId="3" fillId="6" borderId="0" xfId="0" applyNumberFormat="1" applyFont="1" applyFill="1" applyBorder="1" applyAlignment="1">
      <alignment horizontal="center"/>
    </xf>
    <xf numFmtId="167" fontId="8" fillId="0" borderId="43" xfId="0" applyNumberFormat="1" applyFont="1" applyFill="1" applyBorder="1" applyAlignment="1">
      <alignment horizontal="center" vertical="center"/>
    </xf>
    <xf numFmtId="167" fontId="8" fillId="0" borderId="44" xfId="0" applyNumberFormat="1" applyFont="1" applyFill="1" applyBorder="1" applyAlignment="1">
      <alignment horizontal="center" vertical="center"/>
    </xf>
    <xf numFmtId="167" fontId="8" fillId="0" borderId="45" xfId="0" applyNumberFormat="1" applyFont="1" applyFill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center"/>
    </xf>
    <xf numFmtId="165" fontId="7" fillId="0" borderId="54" xfId="0" applyNumberFormat="1" applyFont="1" applyBorder="1" applyAlignment="1">
      <alignment horizontal="center" vertical="center"/>
    </xf>
    <xf numFmtId="167" fontId="8" fillId="0" borderId="55" xfId="0" applyNumberFormat="1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52" xfId="0" applyNumberFormat="1" applyFont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right" vertical="center" indent="1"/>
    </xf>
    <xf numFmtId="165" fontId="7" fillId="0" borderId="3" xfId="0" applyNumberFormat="1" applyFont="1" applyFill="1" applyBorder="1" applyAlignment="1">
      <alignment horizontal="right" vertical="center" indent="1"/>
    </xf>
    <xf numFmtId="165" fontId="7" fillId="0" borderId="42" xfId="0" applyNumberFormat="1" applyFont="1" applyFill="1" applyBorder="1" applyAlignment="1">
      <alignment horizontal="right" vertical="center" indent="1"/>
    </xf>
    <xf numFmtId="165" fontId="7" fillId="0" borderId="56" xfId="0" applyNumberFormat="1" applyFont="1" applyFill="1" applyBorder="1" applyAlignment="1">
      <alignment horizontal="right" vertical="center" indent="1"/>
    </xf>
    <xf numFmtId="3" fontId="7" fillId="7" borderId="57" xfId="0" applyNumberFormat="1" applyFont="1" applyFill="1" applyBorder="1" applyAlignment="1">
      <alignment horizontal="center" vertical="center" wrapText="1"/>
    </xf>
    <xf numFmtId="3" fontId="7" fillId="7" borderId="58" xfId="0" applyNumberFormat="1" applyFont="1" applyFill="1" applyBorder="1" applyAlignment="1">
      <alignment horizontal="center" vertical="center" wrapText="1"/>
    </xf>
    <xf numFmtId="3" fontId="7" fillId="7" borderId="59" xfId="0" applyNumberFormat="1" applyFont="1" applyFill="1" applyBorder="1" applyAlignment="1">
      <alignment horizontal="center" vertical="center" wrapText="1"/>
    </xf>
    <xf numFmtId="3" fontId="7" fillId="7" borderId="60" xfId="0" applyNumberFormat="1" applyFont="1" applyFill="1" applyBorder="1" applyAlignment="1">
      <alignment horizontal="center" vertical="center" wrapText="1"/>
    </xf>
    <xf numFmtId="165" fontId="7" fillId="6" borderId="51" xfId="0" applyNumberFormat="1" applyFont="1" applyFill="1" applyBorder="1"/>
    <xf numFmtId="165" fontId="7" fillId="6" borderId="52" xfId="0" applyNumberFormat="1" applyFont="1" applyFill="1" applyBorder="1"/>
    <xf numFmtId="0" fontId="7" fillId="2" borderId="49" xfId="0" applyFont="1" applyFill="1" applyBorder="1"/>
    <xf numFmtId="0" fontId="7" fillId="2" borderId="50" xfId="0" applyFont="1" applyFill="1" applyBorder="1" applyAlignment="1">
      <alignment horizontal="center"/>
    </xf>
    <xf numFmtId="0" fontId="7" fillId="2" borderId="29" xfId="0" applyFont="1" applyFill="1" applyBorder="1"/>
    <xf numFmtId="0" fontId="7" fillId="2" borderId="51" xfId="0" applyFont="1" applyFill="1" applyBorder="1"/>
    <xf numFmtId="0" fontId="7" fillId="2" borderId="30" xfId="0" applyFont="1" applyFill="1" applyBorder="1"/>
    <xf numFmtId="0" fontId="7" fillId="2" borderId="52" xfId="0" applyFont="1" applyFill="1" applyBorder="1" applyAlignment="1">
      <alignment horizontal="center"/>
    </xf>
    <xf numFmtId="0" fontId="2" fillId="2" borderId="4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2" fillId="2" borderId="51" xfId="0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Border="1"/>
    <xf numFmtId="0" fontId="8" fillId="0" borderId="0" xfId="0" applyFont="1"/>
    <xf numFmtId="0" fontId="7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2" fontId="7" fillId="6" borderId="43" xfId="0" applyNumberFormat="1" applyFont="1" applyFill="1" applyBorder="1" applyAlignment="1">
      <alignment horizontal="right" vertical="center" indent="1"/>
    </xf>
    <xf numFmtId="2" fontId="7" fillId="6" borderId="42" xfId="0" applyNumberFormat="1" applyFont="1" applyFill="1" applyBorder="1" applyAlignment="1">
      <alignment horizontal="right" vertical="center" indent="1"/>
    </xf>
    <xf numFmtId="2" fontId="7" fillId="6" borderId="56" xfId="0" applyNumberFormat="1" applyFont="1" applyFill="1" applyBorder="1" applyAlignment="1">
      <alignment horizontal="right" vertical="center" indent="1"/>
    </xf>
    <xf numFmtId="2" fontId="7" fillId="6" borderId="3" xfId="0" applyNumberFormat="1" applyFont="1" applyFill="1" applyBorder="1" applyAlignment="1">
      <alignment horizontal="right" vertical="center" indent="1"/>
    </xf>
    <xf numFmtId="2" fontId="7" fillId="0" borderId="24" xfId="0" applyNumberFormat="1" applyFont="1" applyFill="1" applyBorder="1" applyAlignment="1">
      <alignment horizontal="right" vertical="center" indent="1"/>
    </xf>
    <xf numFmtId="2" fontId="7" fillId="0" borderId="14" xfId="0" applyNumberFormat="1" applyFont="1" applyFill="1" applyBorder="1" applyAlignment="1">
      <alignment horizontal="right" vertical="center" indent="1"/>
    </xf>
    <xf numFmtId="2" fontId="7" fillId="0" borderId="17" xfId="0" applyNumberFormat="1" applyFont="1" applyFill="1" applyBorder="1" applyAlignment="1">
      <alignment horizontal="right" vertical="center" indent="1"/>
    </xf>
    <xf numFmtId="2" fontId="7" fillId="0" borderId="61" xfId="0" applyNumberFormat="1" applyFont="1" applyFill="1" applyBorder="1" applyAlignment="1">
      <alignment horizontal="right" vertical="center" indent="1"/>
    </xf>
    <xf numFmtId="2" fontId="7" fillId="0" borderId="16" xfId="0" applyNumberFormat="1" applyFont="1" applyFill="1" applyBorder="1" applyAlignment="1">
      <alignment horizontal="right" vertical="center" indent="1"/>
    </xf>
    <xf numFmtId="2" fontId="7" fillId="0" borderId="62" xfId="0" applyNumberFormat="1" applyFont="1" applyFill="1" applyBorder="1" applyAlignment="1">
      <alignment horizontal="right" vertical="center" indent="1"/>
    </xf>
    <xf numFmtId="0" fontId="15" fillId="3" borderId="0" xfId="0" applyFont="1" applyFill="1"/>
    <xf numFmtId="2" fontId="7" fillId="2" borderId="52" xfId="0" applyNumberFormat="1" applyFont="1" applyFill="1" applyBorder="1" applyAlignment="1">
      <alignment horizontal="right"/>
    </xf>
    <xf numFmtId="2" fontId="7" fillId="8" borderId="52" xfId="0" applyNumberFormat="1" applyFont="1" applyFill="1" applyBorder="1" applyAlignment="1">
      <alignment horizontal="right"/>
    </xf>
    <xf numFmtId="2" fontId="7" fillId="9" borderId="52" xfId="0" applyNumberFormat="1" applyFont="1" applyFill="1" applyBorder="1" applyAlignment="1">
      <alignment horizontal="right"/>
    </xf>
    <xf numFmtId="4" fontId="7" fillId="9" borderId="52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 vertical="center" indent="1"/>
    </xf>
    <xf numFmtId="4" fontId="7" fillId="0" borderId="61" xfId="0" applyNumberFormat="1" applyFont="1" applyFill="1" applyBorder="1" applyAlignment="1">
      <alignment horizontal="right" vertical="center" indent="1"/>
    </xf>
    <xf numFmtId="4" fontId="7" fillId="0" borderId="14" xfId="0" applyNumberFormat="1" applyFont="1" applyFill="1" applyBorder="1" applyAlignment="1">
      <alignment horizontal="right" vertical="center" indent="1"/>
    </xf>
    <xf numFmtId="4" fontId="7" fillId="0" borderId="62" xfId="0" applyNumberFormat="1" applyFont="1" applyFill="1" applyBorder="1" applyAlignment="1">
      <alignment horizontal="right" vertical="center" indent="1"/>
    </xf>
    <xf numFmtId="4" fontId="7" fillId="0" borderId="16" xfId="0" applyNumberFormat="1" applyFont="1" applyFill="1" applyBorder="1" applyAlignment="1">
      <alignment horizontal="right" vertical="center" indent="1"/>
    </xf>
    <xf numFmtId="4" fontId="7" fillId="0" borderId="17" xfId="0" applyNumberFormat="1" applyFont="1" applyFill="1" applyBorder="1" applyAlignment="1">
      <alignment horizontal="right" vertical="center" indent="1"/>
    </xf>
    <xf numFmtId="4" fontId="7" fillId="2" borderId="52" xfId="0" applyNumberFormat="1" applyFont="1" applyFill="1" applyBorder="1" applyAlignment="1">
      <alignment horizontal="right"/>
    </xf>
    <xf numFmtId="0" fontId="7" fillId="3" borderId="56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4" fontId="7" fillId="8" borderId="52" xfId="0" applyNumberFormat="1" applyFont="1" applyFill="1" applyBorder="1" applyAlignment="1">
      <alignment horizontal="right"/>
    </xf>
    <xf numFmtId="4" fontId="7" fillId="10" borderId="52" xfId="0" applyNumberFormat="1" applyFont="1" applyFill="1" applyBorder="1" applyAlignment="1">
      <alignment horizontal="right"/>
    </xf>
    <xf numFmtId="4" fontId="7" fillId="11" borderId="52" xfId="0" applyNumberFormat="1" applyFont="1" applyFill="1" applyBorder="1" applyAlignment="1">
      <alignment horizontal="right"/>
    </xf>
    <xf numFmtId="0" fontId="5" fillId="0" borderId="0" xfId="0" quotePrefix="1" applyFont="1" applyFill="1"/>
    <xf numFmtId="4" fontId="7" fillId="7" borderId="59" xfId="0" applyNumberFormat="1" applyFont="1" applyFill="1" applyBorder="1" applyAlignment="1">
      <alignment horizontal="center" vertical="center" wrapText="1"/>
    </xf>
    <xf numFmtId="168" fontId="7" fillId="7" borderId="6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" fontId="7" fillId="7" borderId="57" xfId="0" applyNumberFormat="1" applyFont="1" applyFill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right" vertical="center" indent="1"/>
    </xf>
    <xf numFmtId="0" fontId="7" fillId="12" borderId="46" xfId="0" applyFont="1" applyFill="1" applyBorder="1" applyAlignment="1">
      <alignment horizontal="right" vertical="center" indent="1"/>
    </xf>
    <xf numFmtId="0" fontId="7" fillId="12" borderId="48" xfId="0" applyFont="1" applyFill="1" applyBorder="1" applyAlignment="1">
      <alignment horizontal="right" vertical="center" indent="1"/>
    </xf>
    <xf numFmtId="1" fontId="7" fillId="13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13" borderId="46" xfId="0" applyNumberFormat="1" applyFont="1" applyFill="1" applyBorder="1" applyAlignment="1" applyProtection="1">
      <alignment horizontal="center" vertical="center" wrapText="1"/>
      <protection locked="0"/>
    </xf>
    <xf numFmtId="2" fontId="7" fillId="13" borderId="46" xfId="0" applyNumberFormat="1" applyFont="1" applyFill="1" applyBorder="1" applyAlignment="1" applyProtection="1">
      <alignment horizontal="center" vertical="center" wrapText="1"/>
      <protection locked="0"/>
    </xf>
    <xf numFmtId="9" fontId="7" fillId="13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13" borderId="46" xfId="0" applyFont="1" applyFill="1" applyBorder="1" applyAlignment="1" applyProtection="1">
      <alignment horizontal="center" vertical="center" wrapText="1"/>
      <protection locked="0"/>
    </xf>
    <xf numFmtId="0" fontId="7" fillId="13" borderId="48" xfId="0" applyFont="1" applyFill="1" applyBorder="1" applyAlignment="1" applyProtection="1">
      <alignment horizontal="center" vertical="center" wrapText="1"/>
      <protection locked="0"/>
    </xf>
    <xf numFmtId="0" fontId="7" fillId="14" borderId="49" xfId="1" applyNumberFormat="1" applyFont="1" applyFill="1" applyBorder="1" applyProtection="1"/>
    <xf numFmtId="0" fontId="7" fillId="14" borderId="1" xfId="0" applyFont="1" applyFill="1" applyBorder="1"/>
    <xf numFmtId="0" fontId="7" fillId="14" borderId="29" xfId="1" applyNumberFormat="1" applyFont="1" applyFill="1" applyBorder="1" applyProtection="1"/>
    <xf numFmtId="0" fontId="7" fillId="14" borderId="0" xfId="0" applyFont="1" applyFill="1" applyBorder="1"/>
    <xf numFmtId="0" fontId="10" fillId="14" borderId="29" xfId="1" applyNumberFormat="1" applyFont="1" applyFill="1" applyBorder="1" applyProtection="1"/>
    <xf numFmtId="0" fontId="7" fillId="14" borderId="65" xfId="1" applyNumberFormat="1" applyFont="1" applyFill="1" applyBorder="1" applyProtection="1"/>
    <xf numFmtId="0" fontId="7" fillId="14" borderId="66" xfId="0" applyFont="1" applyFill="1" applyBorder="1"/>
    <xf numFmtId="0" fontId="9" fillId="14" borderId="1" xfId="1" applyNumberFormat="1" applyFont="1" applyFill="1" applyBorder="1" applyAlignment="1" applyProtection="1">
      <alignment horizontal="right"/>
    </xf>
    <xf numFmtId="0" fontId="9" fillId="14" borderId="1" xfId="1" applyNumberFormat="1" applyFont="1" applyFill="1" applyBorder="1" applyAlignment="1" applyProtection="1">
      <alignment horizontal="center"/>
    </xf>
    <xf numFmtId="0" fontId="9" fillId="14" borderId="50" xfId="1" applyNumberFormat="1" applyFont="1" applyFill="1" applyBorder="1" applyAlignment="1" applyProtection="1">
      <alignment horizontal="centerContinuous"/>
    </xf>
    <xf numFmtId="0" fontId="9" fillId="14" borderId="0" xfId="1" applyNumberFormat="1" applyFont="1" applyFill="1" applyBorder="1" applyAlignment="1" applyProtection="1">
      <alignment horizontal="right"/>
    </xf>
    <xf numFmtId="0" fontId="9" fillId="14" borderId="0" xfId="1" applyNumberFormat="1" applyFont="1" applyFill="1" applyBorder="1" applyAlignment="1" applyProtection="1">
      <alignment horizontal="center"/>
    </xf>
    <xf numFmtId="0" fontId="9" fillId="14" borderId="51" xfId="1" applyNumberFormat="1" applyFont="1" applyFill="1" applyBorder="1" applyAlignment="1" applyProtection="1">
      <alignment horizontal="centerContinuous"/>
    </xf>
    <xf numFmtId="4" fontId="7" fillId="14" borderId="0" xfId="1" applyNumberFormat="1" applyFont="1" applyFill="1" applyBorder="1" applyProtection="1"/>
    <xf numFmtId="2" fontId="3" fillId="14" borderId="0" xfId="1" applyNumberFormat="1" applyFont="1" applyFill="1" applyBorder="1" applyAlignment="1" applyProtection="1">
      <alignment horizontal="right"/>
    </xf>
    <xf numFmtId="4" fontId="7" fillId="14" borderId="51" xfId="1" applyNumberFormat="1" applyFont="1" applyFill="1" applyBorder="1" applyProtection="1"/>
    <xf numFmtId="4" fontId="7" fillId="14" borderId="67" xfId="1" applyNumberFormat="1" applyFont="1" applyFill="1" applyBorder="1" applyProtection="1"/>
    <xf numFmtId="2" fontId="3" fillId="14" borderId="0" xfId="2" applyNumberFormat="1" applyFont="1" applyFill="1" applyBorder="1" applyAlignment="1" applyProtection="1">
      <alignment horizontal="right"/>
    </xf>
    <xf numFmtId="0" fontId="5" fillId="14" borderId="49" xfId="0" applyFont="1" applyFill="1" applyBorder="1" applyAlignment="1">
      <alignment horizontal="right"/>
    </xf>
    <xf numFmtId="0" fontId="7" fillId="14" borderId="68" xfId="0" applyFont="1" applyFill="1" applyBorder="1" applyAlignment="1">
      <alignment horizontal="center"/>
    </xf>
    <xf numFmtId="0" fontId="7" fillId="14" borderId="50" xfId="0" applyFont="1" applyFill="1" applyBorder="1" applyAlignment="1">
      <alignment horizontal="center"/>
    </xf>
    <xf numFmtId="0" fontId="5" fillId="14" borderId="30" xfId="0" applyFont="1" applyFill="1" applyBorder="1" applyAlignment="1">
      <alignment horizontal="right"/>
    </xf>
    <xf numFmtId="0" fontId="7" fillId="14" borderId="69" xfId="0" applyFont="1" applyFill="1" applyBorder="1" applyAlignment="1">
      <alignment horizontal="center"/>
    </xf>
    <xf numFmtId="0" fontId="7" fillId="14" borderId="52" xfId="0" applyFont="1" applyFill="1" applyBorder="1" applyAlignment="1">
      <alignment horizontal="center"/>
    </xf>
    <xf numFmtId="0" fontId="7" fillId="14" borderId="30" xfId="0" applyFont="1" applyFill="1" applyBorder="1" applyAlignment="1">
      <alignment horizontal="center" vertical="center"/>
    </xf>
    <xf numFmtId="2" fontId="7" fillId="14" borderId="21" xfId="0" applyNumberFormat="1" applyFont="1" applyFill="1" applyBorder="1" applyAlignment="1">
      <alignment horizontal="center"/>
    </xf>
    <xf numFmtId="2" fontId="7" fillId="14" borderId="56" xfId="0" applyNumberFormat="1" applyFont="1" applyFill="1" applyBorder="1" applyAlignment="1">
      <alignment horizontal="center"/>
    </xf>
    <xf numFmtId="0" fontId="7" fillId="14" borderId="22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2" fontId="7" fillId="14" borderId="29" xfId="0" applyNumberFormat="1" applyFont="1" applyFill="1" applyBorder="1" applyAlignment="1">
      <alignment horizontal="center"/>
    </xf>
    <xf numFmtId="2" fontId="7" fillId="14" borderId="57" xfId="0" applyNumberFormat="1" applyFont="1" applyFill="1" applyBorder="1" applyAlignment="1">
      <alignment horizontal="center"/>
    </xf>
    <xf numFmtId="2" fontId="7" fillId="14" borderId="64" xfId="0" applyNumberFormat="1" applyFont="1" applyFill="1" applyBorder="1" applyAlignment="1">
      <alignment horizontal="center"/>
    </xf>
    <xf numFmtId="0" fontId="7" fillId="14" borderId="25" xfId="0" applyFont="1" applyFill="1" applyBorder="1" applyAlignment="1">
      <alignment horizontal="center" vertical="center"/>
    </xf>
    <xf numFmtId="2" fontId="7" fillId="14" borderId="60" xfId="0" applyNumberFormat="1" applyFont="1" applyFill="1" applyBorder="1" applyAlignment="1">
      <alignment horizontal="center"/>
    </xf>
    <xf numFmtId="2" fontId="7" fillId="14" borderId="69" xfId="0" applyNumberFormat="1" applyFont="1" applyFill="1" applyBorder="1" applyAlignment="1">
      <alignment horizontal="center"/>
    </xf>
    <xf numFmtId="0" fontId="7" fillId="14" borderId="70" xfId="0" applyFont="1" applyFill="1" applyBorder="1" applyAlignment="1">
      <alignment horizontal="center" vertical="center"/>
    </xf>
    <xf numFmtId="2" fontId="7" fillId="14" borderId="49" xfId="0" applyNumberFormat="1" applyFont="1" applyFill="1" applyBorder="1" applyAlignment="1">
      <alignment horizontal="center"/>
    </xf>
    <xf numFmtId="0" fontId="3" fillId="15" borderId="71" xfId="0" applyFont="1" applyFill="1" applyBorder="1" applyAlignment="1" applyProtection="1">
      <alignment horizontal="left" vertical="center" wrapText="1"/>
    </xf>
    <xf numFmtId="0" fontId="3" fillId="15" borderId="72" xfId="0" applyFont="1" applyFill="1" applyBorder="1" applyAlignment="1" applyProtection="1">
      <alignment horizontal="left"/>
    </xf>
    <xf numFmtId="0" fontId="3" fillId="15" borderId="72" xfId="0" applyFont="1" applyFill="1" applyBorder="1" applyAlignment="1" applyProtection="1">
      <alignment horizontal="center"/>
    </xf>
    <xf numFmtId="0" fontId="3" fillId="15" borderId="73" xfId="0" applyFont="1" applyFill="1" applyBorder="1" applyAlignment="1" applyProtection="1">
      <alignment horizontal="center"/>
    </xf>
    <xf numFmtId="0" fontId="3" fillId="15" borderId="74" xfId="0" applyFont="1" applyFill="1" applyBorder="1" applyAlignment="1" applyProtection="1">
      <alignment horizontal="left" vertical="center" wrapText="1"/>
    </xf>
    <xf numFmtId="0" fontId="3" fillId="15" borderId="75" xfId="0" applyFont="1" applyFill="1" applyBorder="1" applyAlignment="1" applyProtection="1">
      <alignment horizontal="center"/>
    </xf>
    <xf numFmtId="0" fontId="3" fillId="15" borderId="76" xfId="0" applyFont="1" applyFill="1" applyBorder="1" applyAlignment="1" applyProtection="1">
      <alignment horizontal="center"/>
    </xf>
    <xf numFmtId="0" fontId="3" fillId="15" borderId="77" xfId="0" applyFont="1" applyFill="1" applyBorder="1" applyAlignment="1" applyProtection="1">
      <alignment horizontal="center"/>
    </xf>
    <xf numFmtId="0" fontId="3" fillId="15" borderId="78" xfId="0" applyFont="1" applyFill="1" applyBorder="1" applyAlignment="1" applyProtection="1">
      <alignment horizontal="center"/>
    </xf>
    <xf numFmtId="0" fontId="3" fillId="15" borderId="79" xfId="0" applyFont="1" applyFill="1" applyBorder="1" applyAlignment="1" applyProtection="1">
      <alignment horizontal="left" wrapText="1"/>
    </xf>
    <xf numFmtId="0" fontId="7" fillId="15" borderId="80" xfId="0" applyFont="1" applyFill="1" applyBorder="1" applyAlignment="1" applyProtection="1">
      <alignment horizontal="center" vertical="center" wrapText="1"/>
    </xf>
    <xf numFmtId="0" fontId="7" fillId="15" borderId="81" xfId="0" applyFont="1" applyFill="1" applyBorder="1" applyAlignment="1" applyProtection="1">
      <alignment horizontal="center" vertical="center" wrapText="1"/>
    </xf>
    <xf numFmtId="0" fontId="7" fillId="15" borderId="82" xfId="0" applyFont="1" applyFill="1" applyBorder="1" applyAlignment="1" applyProtection="1">
      <alignment horizontal="center" vertical="center" wrapText="1"/>
    </xf>
    <xf numFmtId="0" fontId="3" fillId="15" borderId="83" xfId="0" applyFont="1" applyFill="1" applyBorder="1" applyAlignment="1" applyProtection="1">
      <alignment horizontal="left" wrapText="1"/>
    </xf>
    <xf numFmtId="0" fontId="3" fillId="15" borderId="74" xfId="0" applyFont="1" applyFill="1" applyBorder="1" applyAlignment="1" applyProtection="1">
      <alignment horizontal="left" wrapText="1"/>
    </xf>
    <xf numFmtId="0" fontId="3" fillId="15" borderId="84" xfId="0" applyFont="1" applyFill="1" applyBorder="1" applyAlignment="1">
      <alignment horizontal="center" wrapText="1"/>
    </xf>
    <xf numFmtId="0" fontId="3" fillId="15" borderId="85" xfId="0" applyFont="1" applyFill="1" applyBorder="1" applyAlignment="1">
      <alignment horizontal="center" wrapText="1"/>
    </xf>
    <xf numFmtId="0" fontId="3" fillId="15" borderId="86" xfId="0" applyFont="1" applyFill="1" applyBorder="1" applyAlignment="1">
      <alignment horizontal="center" wrapText="1"/>
    </xf>
    <xf numFmtId="0" fontId="3" fillId="15" borderId="87" xfId="0" applyFont="1" applyFill="1" applyBorder="1" applyAlignment="1">
      <alignment horizontal="center" wrapText="1"/>
    </xf>
    <xf numFmtId="0" fontId="3" fillId="15" borderId="88" xfId="0" applyFont="1" applyFill="1" applyBorder="1" applyAlignment="1">
      <alignment horizontal="center" wrapText="1"/>
    </xf>
    <xf numFmtId="0" fontId="3" fillId="15" borderId="89" xfId="0" applyFont="1" applyFill="1" applyBorder="1" applyAlignment="1">
      <alignment horizontal="center" wrapText="1"/>
    </xf>
    <xf numFmtId="0" fontId="3" fillId="15" borderId="67" xfId="0" applyFont="1" applyFill="1" applyBorder="1" applyAlignment="1">
      <alignment horizontal="center" wrapText="1"/>
    </xf>
    <xf numFmtId="0" fontId="3" fillId="15" borderId="66" xfId="0" applyFont="1" applyFill="1" applyBorder="1" applyAlignment="1">
      <alignment horizontal="center" wrapText="1"/>
    </xf>
    <xf numFmtId="0" fontId="7" fillId="15" borderId="88" xfId="0" applyFont="1" applyFill="1" applyBorder="1" applyAlignment="1">
      <alignment horizontal="center" wrapText="1"/>
    </xf>
    <xf numFmtId="0" fontId="7" fillId="15" borderId="89" xfId="0" applyFont="1" applyFill="1" applyBorder="1" applyAlignment="1">
      <alignment horizontal="center" wrapText="1"/>
    </xf>
    <xf numFmtId="0" fontId="7" fillId="15" borderId="67" xfId="0" applyFont="1" applyFill="1" applyBorder="1" applyAlignment="1">
      <alignment horizontal="center" wrapText="1"/>
    </xf>
    <xf numFmtId="0" fontId="7" fillId="15" borderId="90" xfId="0" applyFont="1" applyFill="1" applyBorder="1" applyAlignment="1">
      <alignment horizontal="center" wrapText="1"/>
    </xf>
    <xf numFmtId="0" fontId="7" fillId="15" borderId="91" xfId="0" applyFont="1" applyFill="1" applyBorder="1" applyAlignment="1">
      <alignment horizontal="center" wrapText="1"/>
    </xf>
    <xf numFmtId="0" fontId="7" fillId="15" borderId="92" xfId="0" applyFont="1" applyFill="1" applyBorder="1" applyAlignment="1">
      <alignment horizontal="center" wrapText="1"/>
    </xf>
    <xf numFmtId="3" fontId="16" fillId="13" borderId="42" xfId="0" applyNumberFormat="1" applyFont="1" applyFill="1" applyBorder="1" applyAlignment="1" applyProtection="1">
      <alignment horizontal="center" vertical="center" wrapText="1"/>
      <protection locked="0"/>
    </xf>
    <xf numFmtId="4" fontId="7" fillId="14" borderId="66" xfId="1" applyNumberFormat="1" applyFont="1" applyFill="1" applyBorder="1" applyProtection="1"/>
    <xf numFmtId="4" fontId="7" fillId="14" borderId="93" xfId="1" applyNumberFormat="1" applyFont="1" applyFill="1" applyBorder="1" applyProtection="1"/>
    <xf numFmtId="0" fontId="7" fillId="14" borderId="37" xfId="1" applyNumberFormat="1" applyFont="1" applyFill="1" applyBorder="1" applyProtection="1"/>
    <xf numFmtId="0" fontId="7" fillId="14" borderId="87" xfId="0" applyFont="1" applyFill="1" applyBorder="1"/>
    <xf numFmtId="0" fontId="7" fillId="14" borderId="87" xfId="1" applyNumberFormat="1" applyFont="1" applyFill="1" applyBorder="1" applyProtection="1"/>
    <xf numFmtId="2" fontId="3" fillId="14" borderId="87" xfId="1" applyNumberFormat="1" applyFont="1" applyFill="1" applyBorder="1" applyAlignment="1" applyProtection="1">
      <alignment horizontal="right"/>
    </xf>
    <xf numFmtId="1" fontId="3" fillId="14" borderId="86" xfId="1" applyNumberFormat="1" applyFont="1" applyFill="1" applyBorder="1" applyProtection="1"/>
    <xf numFmtId="0" fontId="10" fillId="14" borderId="94" xfId="1" applyNumberFormat="1" applyFont="1" applyFill="1" applyBorder="1" applyProtection="1"/>
    <xf numFmtId="0" fontId="7" fillId="14" borderId="95" xfId="1" applyNumberFormat="1" applyFont="1" applyFill="1" applyBorder="1" applyProtection="1"/>
    <xf numFmtId="4" fontId="3" fillId="14" borderId="66" xfId="1" applyNumberFormat="1" applyFont="1" applyFill="1" applyBorder="1" applyProtection="1"/>
    <xf numFmtId="0" fontId="3" fillId="0" borderId="0" xfId="0" applyFont="1"/>
    <xf numFmtId="2" fontId="7" fillId="14" borderId="68" xfId="0" applyNumberFormat="1" applyFont="1" applyFill="1" applyBorder="1" applyAlignment="1">
      <alignment horizontal="center"/>
    </xf>
    <xf numFmtId="2" fontId="7" fillId="14" borderId="33" xfId="0" applyNumberFormat="1" applyFont="1" applyFill="1" applyBorder="1" applyAlignment="1">
      <alignment horizontal="center"/>
    </xf>
    <xf numFmtId="0" fontId="3" fillId="15" borderId="8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96" xfId="0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horizontal="center" vertical="center"/>
    </xf>
    <xf numFmtId="0" fontId="7" fillId="6" borderId="30" xfId="0" applyFont="1" applyFill="1" applyBorder="1" applyAlignment="1"/>
    <xf numFmtId="0" fontId="0" fillId="6" borderId="2" xfId="0" applyFill="1" applyBorder="1" applyAlignment="1"/>
    <xf numFmtId="0" fontId="0" fillId="6" borderId="52" xfId="0" applyFill="1" applyBorder="1" applyAlignment="1"/>
    <xf numFmtId="0" fontId="7" fillId="6" borderId="29" xfId="0" applyFont="1" applyFill="1" applyBorder="1" applyAlignment="1"/>
    <xf numFmtId="0" fontId="0" fillId="6" borderId="0" xfId="0" applyFill="1" applyBorder="1" applyAlignment="1"/>
    <xf numFmtId="0" fontId="0" fillId="6" borderId="51" xfId="0" applyFill="1" applyBorder="1" applyAlignment="1"/>
    <xf numFmtId="0" fontId="7" fillId="6" borderId="0" xfId="0" applyFont="1" applyFill="1" applyBorder="1" applyAlignment="1"/>
    <xf numFmtId="0" fontId="7" fillId="6" borderId="51" xfId="0" applyFont="1" applyFill="1" applyBorder="1" applyAlignment="1"/>
    <xf numFmtId="0" fontId="3" fillId="3" borderId="49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center" vertical="center" textRotation="90"/>
    </xf>
    <xf numFmtId="0" fontId="7" fillId="3" borderId="30" xfId="0" applyFont="1" applyFill="1" applyBorder="1" applyAlignment="1">
      <alignment horizontal="center" vertical="center" textRotation="90"/>
    </xf>
    <xf numFmtId="0" fontId="7" fillId="6" borderId="49" xfId="0" applyFont="1" applyFill="1" applyBorder="1" applyAlignment="1"/>
    <xf numFmtId="0" fontId="7" fillId="6" borderId="1" xfId="0" applyFont="1" applyFill="1" applyBorder="1" applyAlignment="1"/>
    <xf numFmtId="0" fontId="7" fillId="6" borderId="50" xfId="0" applyFont="1" applyFill="1" applyBorder="1" applyAlignment="1"/>
    <xf numFmtId="0" fontId="3" fillId="10" borderId="4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3" fillId="3" borderId="98" xfId="0" applyFont="1" applyFill="1" applyBorder="1" applyAlignment="1">
      <alignment horizontal="center" vertical="center" textRotation="90"/>
    </xf>
    <xf numFmtId="0" fontId="3" fillId="3" borderId="99" xfId="0" applyFont="1" applyFill="1" applyBorder="1" applyAlignment="1">
      <alignment horizontal="center" vertical="center" textRotation="90"/>
    </xf>
    <xf numFmtId="0" fontId="3" fillId="3" borderId="100" xfId="0" applyFont="1" applyFill="1" applyBorder="1" applyAlignment="1">
      <alignment horizontal="center" vertical="center" textRotation="90"/>
    </xf>
    <xf numFmtId="0" fontId="7" fillId="3" borderId="101" xfId="0" applyFont="1" applyFill="1" applyBorder="1" applyAlignment="1">
      <alignment horizontal="center" vertical="center"/>
    </xf>
    <xf numFmtId="0" fontId="7" fillId="3" borderId="102" xfId="0" applyFont="1" applyFill="1" applyBorder="1" applyAlignment="1">
      <alignment horizontal="center" vertical="center"/>
    </xf>
    <xf numFmtId="0" fontId="7" fillId="3" borderId="103" xfId="0" applyFont="1" applyFill="1" applyBorder="1" applyAlignment="1">
      <alignment horizontal="center" vertical="center"/>
    </xf>
    <xf numFmtId="0" fontId="7" fillId="3" borderId="10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95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105" xfId="0" applyFont="1" applyFill="1" applyBorder="1" applyAlignment="1">
      <alignment horizontal="center" vertical="center" wrapText="1"/>
    </xf>
    <xf numFmtId="0" fontId="7" fillId="5" borderId="106" xfId="0" applyFont="1" applyFill="1" applyBorder="1" applyAlignment="1">
      <alignment horizontal="left" vertical="center" indent="1"/>
    </xf>
    <xf numFmtId="0" fontId="7" fillId="5" borderId="107" xfId="0" applyFont="1" applyFill="1" applyBorder="1" applyAlignment="1">
      <alignment horizontal="left" vertical="center" indent="1"/>
    </xf>
    <xf numFmtId="0" fontId="7" fillId="5" borderId="108" xfId="0" applyFont="1" applyFill="1" applyBorder="1" applyAlignment="1">
      <alignment horizontal="left" vertical="center" inden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110" xfId="0" applyFont="1" applyFill="1" applyBorder="1" applyAlignment="1">
      <alignment horizontal="center" vertical="center"/>
    </xf>
    <xf numFmtId="0" fontId="3" fillId="3" borderId="1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1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5" borderId="12" xfId="0" applyFont="1" applyFill="1" applyBorder="1" applyAlignment="1">
      <alignment horizontal="left" vertical="center" indent="1"/>
    </xf>
    <xf numFmtId="0" fontId="7" fillId="5" borderId="13" xfId="0" applyFont="1" applyFill="1" applyBorder="1" applyAlignment="1">
      <alignment horizontal="left" vertical="center" indent="1"/>
    </xf>
    <xf numFmtId="0" fontId="7" fillId="5" borderId="113" xfId="0" applyFont="1" applyFill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0" fontId="7" fillId="5" borderId="114" xfId="0" applyFont="1" applyFill="1" applyBorder="1" applyAlignment="1">
      <alignment horizontal="left" vertical="center" indent="1"/>
    </xf>
  </cellXfs>
  <cellStyles count="3">
    <cellStyle name="Normal" xfId="0" builtinId="0"/>
    <cellStyle name="Normal_Premium Cash Payments 3" xfId="1"/>
    <cellStyle name="Percent" xfId="2" builtinId="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redendo">
  <a:themeElements>
    <a:clrScheme name="CREDENDO PALETTE">
      <a:dk1>
        <a:srgbClr val="685648"/>
      </a:dk1>
      <a:lt1>
        <a:srgbClr val="FFFFFF"/>
      </a:lt1>
      <a:dk2>
        <a:srgbClr val="E3681F"/>
      </a:dk2>
      <a:lt2>
        <a:srgbClr val="FFFFFF"/>
      </a:lt2>
      <a:accent1>
        <a:srgbClr val="AE2D15"/>
      </a:accent1>
      <a:accent2>
        <a:srgbClr val="E19A1E"/>
      </a:accent2>
      <a:accent3>
        <a:srgbClr val="250201"/>
      </a:accent3>
      <a:accent4>
        <a:srgbClr val="702700"/>
      </a:accent4>
      <a:accent5>
        <a:srgbClr val="E3681F"/>
      </a:accent5>
      <a:accent6>
        <a:srgbClr val="C6B8AF"/>
      </a:accent6>
      <a:hlink>
        <a:srgbClr val="685648"/>
      </a:hlink>
      <a:folHlink>
        <a:srgbClr val="68564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/>
        </a:solidFill>
        <a:ln>
          <a:solidFill>
            <a:schemeClr val="accent6"/>
          </a:solidFill>
        </a:ln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sz="1600" dirty="0" err="1" smtClean="0">
            <a:latin typeface="Arial" pitchFamily="34" charset="0"/>
            <a:cs typeface="Arial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spAutoFit/>
      </a:bodyPr>
      <a:lstStyle>
        <a:defPPr>
          <a:defRPr sz="1600" dirty="0" err="1" smtClean="0">
            <a:latin typeface="Arial" pitchFamily="34" charset="0"/>
            <a:cs typeface="Arial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7"/>
  <sheetViews>
    <sheetView showGridLines="0" showRowColHeaders="0" tabSelected="1" zoomScaleNormal="100" workbookViewId="0">
      <selection activeCell="D3" sqref="D3"/>
    </sheetView>
  </sheetViews>
  <sheetFormatPr defaultColWidth="0" defaultRowHeight="15" zeroHeight="1"/>
  <cols>
    <col min="1" max="1" width="75.33203125" style="1" customWidth="1"/>
    <col min="2" max="3" width="15.5546875" style="1" customWidth="1"/>
    <col min="4" max="4" width="15.5546875" style="2" customWidth="1"/>
    <col min="5" max="8" width="15.5546875" style="1" customWidth="1"/>
    <col min="9" max="11" width="9.109375" style="1" customWidth="1"/>
    <col min="12" max="12" width="17.6640625" style="1" customWidth="1"/>
    <col min="13" max="16384" width="0" style="1" hidden="1"/>
  </cols>
  <sheetData>
    <row r="1" spans="1:9" ht="16.2" thickBot="1">
      <c r="B1" s="142" t="s">
        <v>94</v>
      </c>
    </row>
    <row r="2" spans="1:9" ht="23.25" customHeight="1">
      <c r="A2" s="178" t="s">
        <v>35</v>
      </c>
      <c r="B2" s="253"/>
      <c r="C2" s="137"/>
      <c r="F2" s="137"/>
      <c r="G2" s="137"/>
      <c r="H2" s="137"/>
      <c r="I2" s="137"/>
    </row>
    <row r="3" spans="1:9" ht="23.25" customHeight="1">
      <c r="A3" s="179" t="s">
        <v>91</v>
      </c>
      <c r="B3" s="181"/>
      <c r="C3" s="141" t="s">
        <v>123</v>
      </c>
      <c r="F3" s="137"/>
      <c r="G3" s="137"/>
      <c r="H3" s="137"/>
      <c r="I3" s="137"/>
    </row>
    <row r="4" spans="1:9" ht="23.25" customHeight="1">
      <c r="A4" s="179" t="s">
        <v>3</v>
      </c>
      <c r="B4" s="182"/>
      <c r="C4" s="141" t="s">
        <v>131</v>
      </c>
      <c r="F4" s="137"/>
      <c r="G4" s="137"/>
      <c r="H4" s="137"/>
      <c r="I4" s="137"/>
    </row>
    <row r="5" spans="1:9" ht="23.25" customHeight="1">
      <c r="A5" s="179" t="s">
        <v>29</v>
      </c>
      <c r="B5" s="182"/>
      <c r="C5" s="139" t="s">
        <v>92</v>
      </c>
      <c r="F5" s="137"/>
      <c r="G5" s="137"/>
      <c r="H5" s="137"/>
      <c r="I5" s="137"/>
    </row>
    <row r="6" spans="1:9" ht="23.25" customHeight="1">
      <c r="A6" s="179" t="s">
        <v>30</v>
      </c>
      <c r="B6" s="182">
        <v>2</v>
      </c>
      <c r="C6" s="139" t="s">
        <v>124</v>
      </c>
      <c r="F6" s="137"/>
      <c r="G6" s="137"/>
      <c r="H6" s="137"/>
      <c r="I6" s="137"/>
    </row>
    <row r="7" spans="1:9" ht="23.25" customHeight="1">
      <c r="A7" s="179" t="s">
        <v>5</v>
      </c>
      <c r="B7" s="183"/>
      <c r="C7" s="139" t="s">
        <v>93</v>
      </c>
      <c r="F7" s="137"/>
      <c r="G7" s="137"/>
      <c r="H7" s="137"/>
      <c r="I7" s="137"/>
    </row>
    <row r="8" spans="1:9" ht="23.25" customHeight="1">
      <c r="A8" s="179" t="s">
        <v>88</v>
      </c>
      <c r="B8" s="184">
        <v>0.9</v>
      </c>
      <c r="C8" s="139" t="s">
        <v>125</v>
      </c>
      <c r="F8" s="137"/>
      <c r="G8" s="137"/>
      <c r="H8" s="137"/>
      <c r="I8" s="137"/>
    </row>
    <row r="9" spans="1:9" ht="23.25" customHeight="1">
      <c r="A9" s="179" t="s">
        <v>89</v>
      </c>
      <c r="B9" s="184">
        <v>0.95</v>
      </c>
      <c r="C9" s="139" t="s">
        <v>126</v>
      </c>
      <c r="F9" s="137"/>
      <c r="G9" s="137"/>
      <c r="H9" s="137"/>
      <c r="I9" s="137"/>
    </row>
    <row r="10" spans="1:9" ht="23.25" customHeight="1">
      <c r="A10" s="179" t="s">
        <v>25</v>
      </c>
      <c r="B10" s="185" t="s">
        <v>67</v>
      </c>
      <c r="C10" s="141" t="s">
        <v>130</v>
      </c>
      <c r="F10" s="137"/>
      <c r="G10" s="137"/>
      <c r="H10" s="137"/>
      <c r="I10" s="137"/>
    </row>
    <row r="11" spans="1:9" ht="23.25" customHeight="1" thickBot="1">
      <c r="A11" s="180" t="s">
        <v>27</v>
      </c>
      <c r="B11" s="186" t="s">
        <v>26</v>
      </c>
      <c r="C11" s="141" t="s">
        <v>129</v>
      </c>
      <c r="F11" s="137"/>
      <c r="G11" s="137"/>
      <c r="H11" s="137"/>
      <c r="I11" s="137"/>
    </row>
    <row r="12" spans="1:9">
      <c r="A12" s="137"/>
      <c r="B12" s="137"/>
      <c r="C12" s="137"/>
      <c r="D12" s="138"/>
      <c r="E12" s="137"/>
      <c r="F12" s="137"/>
      <c r="G12" s="137"/>
      <c r="H12" s="137"/>
      <c r="I12" s="137"/>
    </row>
    <row r="13" spans="1:9" ht="16.2" thickBot="1">
      <c r="A13" s="137"/>
      <c r="B13" s="144" t="s">
        <v>114</v>
      </c>
      <c r="C13" s="137"/>
      <c r="D13" s="138"/>
      <c r="E13" s="137"/>
      <c r="F13" s="137"/>
      <c r="G13" s="137"/>
      <c r="H13" s="137"/>
      <c r="I13" s="137"/>
    </row>
    <row r="14" spans="1:9">
      <c r="A14" s="137"/>
      <c r="B14" s="187"/>
      <c r="C14" s="188"/>
      <c r="D14" s="194" t="s">
        <v>31</v>
      </c>
      <c r="E14" s="195" t="s">
        <v>32</v>
      </c>
      <c r="F14" s="196" t="s">
        <v>33</v>
      </c>
      <c r="G14" s="137"/>
      <c r="H14" s="137"/>
      <c r="I14" s="137"/>
    </row>
    <row r="15" spans="1:9">
      <c r="A15" s="140" t="s">
        <v>90</v>
      </c>
      <c r="B15" s="189"/>
      <c r="C15" s="190"/>
      <c r="D15" s="197"/>
      <c r="E15" s="198"/>
      <c r="F15" s="199"/>
      <c r="G15" s="137"/>
      <c r="H15" s="137"/>
      <c r="I15" s="137"/>
    </row>
    <row r="16" spans="1:9">
      <c r="B16" s="191" t="s">
        <v>37</v>
      </c>
      <c r="C16" s="190"/>
      <c r="D16" s="200">
        <f>+B2</f>
        <v>0</v>
      </c>
      <c r="E16" s="201" t="e">
        <f>+CALCULATIONS!D50</f>
        <v>#N/A</v>
      </c>
      <c r="F16" s="202" t="e">
        <f>ROUND(+D16*E16/100,2)</f>
        <v>#N/A</v>
      </c>
      <c r="G16" s="137"/>
      <c r="H16" s="137"/>
      <c r="I16" s="137"/>
    </row>
    <row r="17" spans="1:9">
      <c r="A17" s="140" t="s">
        <v>127</v>
      </c>
      <c r="B17" s="192"/>
      <c r="C17" s="193"/>
      <c r="D17" s="254"/>
      <c r="E17" s="254"/>
      <c r="F17" s="203"/>
      <c r="G17" s="137"/>
      <c r="H17" s="137"/>
      <c r="I17" s="137"/>
    </row>
    <row r="18" spans="1:9">
      <c r="A18" s="140" t="s">
        <v>119</v>
      </c>
      <c r="B18" s="256"/>
      <c r="C18" s="257"/>
      <c r="D18" s="258"/>
      <c r="E18" s="259"/>
      <c r="F18" s="260"/>
      <c r="G18" s="137"/>
      <c r="H18" s="137"/>
      <c r="I18" s="137"/>
    </row>
    <row r="19" spans="1:9">
      <c r="B19" s="261" t="s">
        <v>34</v>
      </c>
      <c r="C19" s="190"/>
      <c r="D19" s="200">
        <f>+D16</f>
        <v>0</v>
      </c>
      <c r="E19" s="204" t="e">
        <f>+CALCULATIONS!D52</f>
        <v>#N/A</v>
      </c>
      <c r="F19" s="255" t="e">
        <f>ROUND(+D19*E19/100,2)</f>
        <v>#N/A</v>
      </c>
      <c r="G19" s="137"/>
      <c r="H19" s="137"/>
      <c r="I19" s="137"/>
    </row>
    <row r="20" spans="1:9">
      <c r="A20" s="140" t="s">
        <v>120</v>
      </c>
      <c r="B20" s="262"/>
      <c r="C20" s="193"/>
      <c r="D20" s="254"/>
      <c r="E20" s="263"/>
      <c r="F20" s="203"/>
      <c r="G20" s="137"/>
      <c r="H20" s="137"/>
      <c r="I20" s="137"/>
    </row>
    <row r="21" spans="1:9">
      <c r="A21" s="140" t="s">
        <v>128</v>
      </c>
      <c r="D21" s="1"/>
      <c r="G21" s="137"/>
      <c r="H21" s="137"/>
      <c r="I21" s="137"/>
    </row>
    <row r="22" spans="1:9">
      <c r="D22" s="1"/>
      <c r="G22" s="137"/>
      <c r="H22" s="137"/>
      <c r="I22" s="137"/>
    </row>
    <row r="23" spans="1:9">
      <c r="G23" s="137"/>
      <c r="H23" s="137"/>
      <c r="I23" s="137"/>
    </row>
    <row r="24" spans="1:9">
      <c r="A24" s="137"/>
      <c r="B24" s="137"/>
      <c r="C24" s="137"/>
      <c r="D24" s="138"/>
      <c r="E24" s="137"/>
      <c r="F24" s="137"/>
      <c r="G24" s="137"/>
      <c r="H24" s="137"/>
      <c r="I24" s="137"/>
    </row>
    <row r="25" spans="1:9" ht="16.2" thickBot="1">
      <c r="A25" s="137"/>
      <c r="B25" s="143" t="s">
        <v>121</v>
      </c>
      <c r="C25" s="137"/>
      <c r="D25" s="138"/>
      <c r="E25" s="137"/>
      <c r="G25" s="145"/>
      <c r="H25" s="137"/>
      <c r="I25" s="137"/>
    </row>
    <row r="26" spans="1:9" ht="18.75" customHeight="1">
      <c r="A26" s="137"/>
      <c r="B26" s="205"/>
      <c r="C26" s="206" t="s">
        <v>122</v>
      </c>
      <c r="D26" s="207" t="s">
        <v>122</v>
      </c>
      <c r="E26" s="173" t="s">
        <v>113</v>
      </c>
      <c r="G26" s="145"/>
      <c r="H26" s="137"/>
      <c r="I26" s="137"/>
    </row>
    <row r="27" spans="1:9" ht="18.75" customHeight="1" thickBot="1">
      <c r="A27" s="137"/>
      <c r="B27" s="208"/>
      <c r="C27" s="209" t="s">
        <v>111</v>
      </c>
      <c r="D27" s="210" t="s">
        <v>112</v>
      </c>
      <c r="E27" s="173"/>
      <c r="G27" s="145"/>
      <c r="H27" s="137"/>
      <c r="I27" s="137"/>
    </row>
    <row r="28" spans="1:9" ht="16.2" thickBot="1">
      <c r="A28" s="137"/>
      <c r="B28" s="211" t="s">
        <v>4</v>
      </c>
      <c r="C28" s="212" t="str">
        <f>VLOOKUP($B28,CALCULATIONS!$C$24:$J$34,$B$3+1,2)</f>
        <v>BTS</v>
      </c>
      <c r="D28" s="213" t="str">
        <f>VLOOKUP($B28,CALCULATIONS!$C$89:$J$99,$B$3+1,2)</f>
        <v>BTS</v>
      </c>
      <c r="E28" s="137"/>
      <c r="G28" s="145"/>
      <c r="H28" s="137"/>
      <c r="I28" s="137"/>
    </row>
    <row r="29" spans="1:9" ht="15.6">
      <c r="A29" s="137"/>
      <c r="B29" s="214" t="s">
        <v>41</v>
      </c>
      <c r="C29" s="265" t="str">
        <f>VLOOKUP($B29,CALCULATIONS!$C$24:$J$34,$B$3+1,2)</f>
        <v>CC0</v>
      </c>
      <c r="D29" s="265" t="str">
        <f>VLOOKUP($B29,CALCULATIONS!$C$89:$J$99,$B$3+1,2)</f>
        <v>CC0</v>
      </c>
      <c r="E29" s="137"/>
      <c r="G29" s="145"/>
      <c r="H29" s="137"/>
      <c r="I29" s="137"/>
    </row>
    <row r="30" spans="1:9" ht="15.6">
      <c r="A30" s="137"/>
      <c r="B30" s="215" t="s">
        <v>7</v>
      </c>
      <c r="C30" s="266" t="str">
        <f>VLOOKUP($B30,CALCULATIONS!$C$24:$J$34,$B$3+1,2)</f>
        <v>CC1</v>
      </c>
      <c r="D30" s="218" t="str">
        <f>VLOOKUP($B30,CALCULATIONS!$C$89:$J$99,$B$3+1,2)</f>
        <v>CC1</v>
      </c>
      <c r="E30" s="137"/>
      <c r="G30" s="145"/>
      <c r="H30" s="137"/>
      <c r="I30" s="137"/>
    </row>
    <row r="31" spans="1:9" ht="15.6">
      <c r="A31" s="137"/>
      <c r="B31" s="215" t="s">
        <v>10</v>
      </c>
      <c r="C31" s="216" t="str">
        <f>VLOOKUP($B31,CALCULATIONS!$C$24:$J$34,$B$3+1,2)</f>
        <v>CC2</v>
      </c>
      <c r="D31" s="217" t="str">
        <f>VLOOKUP($B31,CALCULATIONS!$C$89:$J$99,$B$3+1,2)</f>
        <v>CC2</v>
      </c>
      <c r="E31" s="137"/>
      <c r="G31" s="145"/>
      <c r="H31" s="137"/>
      <c r="I31" s="137"/>
    </row>
    <row r="32" spans="1:9" ht="15.6">
      <c r="A32" s="137"/>
      <c r="B32" s="215" t="s">
        <v>13</v>
      </c>
      <c r="C32" s="266" t="str">
        <f>VLOOKUP($B32,CALCULATIONS!$C$24:$J$34,$B$3+1,2)</f>
        <v>CC3</v>
      </c>
      <c r="D32" s="218" t="str">
        <f>VLOOKUP($B32,CALCULATIONS!$C$89:$J$99,$B$3+1,2)</f>
        <v>CC3</v>
      </c>
      <c r="E32" s="137"/>
      <c r="G32" s="145"/>
      <c r="H32" s="137"/>
      <c r="I32" s="137"/>
    </row>
    <row r="33" spans="1:9" ht="15.6">
      <c r="A33" s="137"/>
      <c r="B33" s="215" t="s">
        <v>15</v>
      </c>
      <c r="C33" s="266" t="str">
        <f>VLOOKUP($B33,CALCULATIONS!$C$24:$J$34,$B$3+1,2)</f>
        <v>CC4</v>
      </c>
      <c r="D33" s="218" t="str">
        <f>VLOOKUP($B33,CALCULATIONS!$C$89:$J$99,$B$3+1,2)</f>
        <v>CC4</v>
      </c>
      <c r="E33" s="137"/>
      <c r="G33" s="145"/>
      <c r="H33" s="137"/>
      <c r="I33" s="137"/>
    </row>
    <row r="34" spans="1:9" ht="16.2" thickBot="1">
      <c r="A34" s="137"/>
      <c r="B34" s="219" t="s">
        <v>17</v>
      </c>
      <c r="C34" s="220" t="str">
        <f>VLOOKUP($B34,CALCULATIONS!$C$24:$J$34,$B$3+1,2)</f>
        <v>CC5</v>
      </c>
      <c r="D34" s="221" t="str">
        <f>VLOOKUP($B34,CALCULATIONS!$C$89:$J$99,$B$3+1,2)</f>
        <v>CC5</v>
      </c>
      <c r="E34" s="137"/>
      <c r="G34" s="145"/>
      <c r="H34" s="137"/>
      <c r="I34" s="137"/>
    </row>
    <row r="35" spans="1:9" ht="15.6">
      <c r="A35" s="137"/>
      <c r="B35" s="222" t="s">
        <v>38</v>
      </c>
      <c r="C35" s="223" t="str">
        <f>VLOOKUP($B35,CALCULATIONS!$C$24:$J$34,$B$3+1,2)</f>
        <v>SOV1</v>
      </c>
      <c r="D35" s="265" t="str">
        <f>VLOOKUP($B35,CALCULATIONS!$C$89:$J$99,$B$3+1,2)</f>
        <v>SOV1</v>
      </c>
      <c r="E35" s="137"/>
      <c r="G35" s="145"/>
      <c r="H35" s="137"/>
      <c r="I35" s="137"/>
    </row>
    <row r="36" spans="1:9">
      <c r="A36" s="137"/>
      <c r="B36" s="215" t="s">
        <v>39</v>
      </c>
      <c r="C36" s="266" t="str">
        <f>VLOOKUP($B36,CALCULATIONS!$C$24:$J$34,$B$3+1,2)</f>
        <v>SOV2</v>
      </c>
      <c r="D36" s="218" t="str">
        <f>VLOOKUP($B36,CALCULATIONS!$C$89:$J$99,$B$3+1,2)</f>
        <v>SOV2</v>
      </c>
      <c r="E36" s="137"/>
      <c r="F36" s="137"/>
      <c r="G36" s="137"/>
      <c r="H36" s="137"/>
      <c r="I36" s="137"/>
    </row>
    <row r="37" spans="1:9" ht="15.6" thickBot="1">
      <c r="A37" s="137"/>
      <c r="B37" s="219" t="s">
        <v>40</v>
      </c>
      <c r="C37" s="220" t="str">
        <f>VLOOKUP($B37,CALCULATIONS!$C$24:$J$34,$B$3+1,2)</f>
        <v>SOV3</v>
      </c>
      <c r="D37" s="221" t="str">
        <f>VLOOKUP($B37,CALCULATIONS!$C$89:$J$99,$B$3+1,2)</f>
        <v>SOV3</v>
      </c>
      <c r="E37" s="137"/>
      <c r="F37" s="137"/>
      <c r="G37" s="137"/>
      <c r="H37" s="137"/>
      <c r="I37" s="137"/>
    </row>
    <row r="38" spans="1:9">
      <c r="A38" s="137"/>
      <c r="B38" s="137"/>
      <c r="C38" s="137"/>
      <c r="D38" s="138"/>
      <c r="E38" s="137"/>
      <c r="F38" s="137"/>
      <c r="G38" s="137"/>
      <c r="H38" s="137"/>
      <c r="I38" s="137"/>
    </row>
    <row r="39" spans="1:9" ht="16.2" thickBot="1">
      <c r="A39" s="137"/>
      <c r="B39" s="143" t="s">
        <v>95</v>
      </c>
      <c r="C39" s="137"/>
      <c r="D39" s="138"/>
      <c r="E39" s="137"/>
      <c r="F39" s="137"/>
      <c r="G39" s="137"/>
      <c r="H39" s="137"/>
      <c r="I39" s="137"/>
    </row>
    <row r="40" spans="1:9" ht="15.6" thickTop="1">
      <c r="A40" s="224" t="s">
        <v>3</v>
      </c>
      <c r="B40" s="225" t="s">
        <v>1</v>
      </c>
      <c r="C40" s="226"/>
      <c r="D40" s="226"/>
      <c r="E40" s="226"/>
      <c r="F40" s="226"/>
      <c r="G40" s="226"/>
      <c r="H40" s="227"/>
      <c r="I40" s="137"/>
    </row>
    <row r="41" spans="1:9" ht="15.6" thickBot="1">
      <c r="A41" s="228"/>
      <c r="B41" s="229">
        <v>1</v>
      </c>
      <c r="C41" s="230">
        <v>2</v>
      </c>
      <c r="D41" s="230">
        <v>3</v>
      </c>
      <c r="E41" s="231">
        <v>4</v>
      </c>
      <c r="F41" s="230">
        <v>5</v>
      </c>
      <c r="G41" s="230">
        <v>6</v>
      </c>
      <c r="H41" s="232">
        <v>7</v>
      </c>
      <c r="I41" s="137"/>
    </row>
    <row r="42" spans="1:9" ht="23.25" customHeight="1" thickTop="1" thickBot="1">
      <c r="A42" s="233" t="s">
        <v>79</v>
      </c>
      <c r="B42" s="234" t="s">
        <v>50</v>
      </c>
      <c r="C42" s="235" t="s">
        <v>50</v>
      </c>
      <c r="D42" s="235" t="s">
        <v>50</v>
      </c>
      <c r="E42" s="235" t="s">
        <v>50</v>
      </c>
      <c r="F42" s="235" t="s">
        <v>50</v>
      </c>
      <c r="G42" s="235" t="s">
        <v>50</v>
      </c>
      <c r="H42" s="236" t="s">
        <v>50</v>
      </c>
      <c r="I42" s="137"/>
    </row>
    <row r="43" spans="1:9" ht="23.25" customHeight="1" thickTop="1" thickBot="1">
      <c r="A43" s="237" t="s">
        <v>80</v>
      </c>
      <c r="B43" s="234" t="s">
        <v>50</v>
      </c>
      <c r="C43" s="235" t="s">
        <v>50</v>
      </c>
      <c r="D43" s="235" t="s">
        <v>50</v>
      </c>
      <c r="E43" s="235" t="s">
        <v>50</v>
      </c>
      <c r="F43" s="235" t="s">
        <v>50</v>
      </c>
      <c r="G43" s="235" t="s">
        <v>50</v>
      </c>
      <c r="H43" s="236" t="s">
        <v>50</v>
      </c>
      <c r="I43" s="137"/>
    </row>
    <row r="44" spans="1:9" ht="23.25" customHeight="1" thickTop="1" thickBot="1">
      <c r="A44" s="237" t="s">
        <v>81</v>
      </c>
      <c r="B44" s="234" t="s">
        <v>50</v>
      </c>
      <c r="C44" s="235" t="s">
        <v>50</v>
      </c>
      <c r="D44" s="235" t="s">
        <v>50</v>
      </c>
      <c r="E44" s="235" t="s">
        <v>50</v>
      </c>
      <c r="F44" s="235" t="s">
        <v>50</v>
      </c>
      <c r="G44" s="235" t="s">
        <v>50</v>
      </c>
      <c r="H44" s="236" t="s">
        <v>50</v>
      </c>
      <c r="I44" s="137"/>
    </row>
    <row r="45" spans="1:9" ht="23.25" customHeight="1" thickTop="1" thickBot="1">
      <c r="A45" s="237" t="s">
        <v>82</v>
      </c>
      <c r="B45" s="234" t="s">
        <v>50</v>
      </c>
      <c r="C45" s="235" t="s">
        <v>50</v>
      </c>
      <c r="D45" s="235" t="s">
        <v>50</v>
      </c>
      <c r="E45" s="235" t="s">
        <v>50</v>
      </c>
      <c r="F45" s="235" t="s">
        <v>50</v>
      </c>
      <c r="G45" s="235" t="s">
        <v>50</v>
      </c>
      <c r="H45" s="236" t="s">
        <v>50</v>
      </c>
      <c r="I45" s="137"/>
    </row>
    <row r="46" spans="1:9" ht="23.25" customHeight="1" thickTop="1" thickBot="1">
      <c r="A46" s="237" t="s">
        <v>87</v>
      </c>
      <c r="B46" s="234" t="s">
        <v>50</v>
      </c>
      <c r="C46" s="235" t="s">
        <v>50</v>
      </c>
      <c r="D46" s="235" t="s">
        <v>50</v>
      </c>
      <c r="E46" s="235" t="s">
        <v>50</v>
      </c>
      <c r="F46" s="235" t="s">
        <v>50</v>
      </c>
      <c r="G46" s="235" t="s">
        <v>50</v>
      </c>
      <c r="H46" s="236" t="s">
        <v>50</v>
      </c>
      <c r="I46" s="137"/>
    </row>
    <row r="47" spans="1:9" ht="23.25" customHeight="1" thickTop="1" thickBot="1">
      <c r="A47" s="237" t="s">
        <v>116</v>
      </c>
      <c r="B47" s="234" t="s">
        <v>42</v>
      </c>
      <c r="C47" s="235" t="s">
        <v>43</v>
      </c>
      <c r="D47" s="235" t="s">
        <v>44</v>
      </c>
      <c r="E47" s="235" t="s">
        <v>45</v>
      </c>
      <c r="F47" s="235" t="s">
        <v>46</v>
      </c>
      <c r="G47" s="235" t="s">
        <v>47</v>
      </c>
      <c r="H47" s="236" t="s">
        <v>48</v>
      </c>
      <c r="I47" s="137"/>
    </row>
    <row r="48" spans="1:9" ht="23.25" customHeight="1" thickTop="1" thickBot="1">
      <c r="A48" s="237" t="s">
        <v>83</v>
      </c>
      <c r="B48" s="234" t="s">
        <v>43</v>
      </c>
      <c r="C48" s="235" t="s">
        <v>44</v>
      </c>
      <c r="D48" s="235" t="s">
        <v>45</v>
      </c>
      <c r="E48" s="235" t="s">
        <v>46</v>
      </c>
      <c r="F48" s="235" t="s">
        <v>47</v>
      </c>
      <c r="G48" s="235" t="s">
        <v>48</v>
      </c>
      <c r="H48" s="236" t="s">
        <v>49</v>
      </c>
      <c r="I48" s="137"/>
    </row>
    <row r="49" spans="1:9" ht="23.25" customHeight="1" thickTop="1" thickBot="1">
      <c r="A49" s="237" t="s">
        <v>84</v>
      </c>
      <c r="B49" s="234" t="s">
        <v>44</v>
      </c>
      <c r="C49" s="235" t="s">
        <v>45</v>
      </c>
      <c r="D49" s="235" t="s">
        <v>46</v>
      </c>
      <c r="E49" s="235" t="s">
        <v>47</v>
      </c>
      <c r="F49" s="235" t="s">
        <v>48</v>
      </c>
      <c r="G49" s="235" t="s">
        <v>49</v>
      </c>
      <c r="H49" s="236" t="s">
        <v>50</v>
      </c>
      <c r="I49" s="137"/>
    </row>
    <row r="50" spans="1:9" ht="23.25" customHeight="1" thickTop="1" thickBot="1">
      <c r="A50" s="237" t="s">
        <v>85</v>
      </c>
      <c r="B50" s="234" t="s">
        <v>45</v>
      </c>
      <c r="C50" s="235" t="s">
        <v>46</v>
      </c>
      <c r="D50" s="235" t="s">
        <v>47</v>
      </c>
      <c r="E50" s="235" t="s">
        <v>48</v>
      </c>
      <c r="F50" s="235" t="s">
        <v>49</v>
      </c>
      <c r="G50" s="235" t="s">
        <v>50</v>
      </c>
      <c r="H50" s="236" t="s">
        <v>50</v>
      </c>
      <c r="I50" s="137"/>
    </row>
    <row r="51" spans="1:9" ht="23.25" customHeight="1" thickTop="1" thickBot="1">
      <c r="A51" s="238" t="s">
        <v>86</v>
      </c>
      <c r="B51" s="234" t="s">
        <v>51</v>
      </c>
      <c r="C51" s="235" t="s">
        <v>52</v>
      </c>
      <c r="D51" s="235" t="s">
        <v>53</v>
      </c>
      <c r="E51" s="235" t="s">
        <v>49</v>
      </c>
      <c r="F51" s="235" t="s">
        <v>50</v>
      </c>
      <c r="G51" s="235" t="s">
        <v>50</v>
      </c>
      <c r="H51" s="236" t="s">
        <v>50</v>
      </c>
      <c r="I51" s="137"/>
    </row>
    <row r="52" spans="1:9" ht="15.6" thickTop="1">
      <c r="A52" s="137"/>
      <c r="B52" s="137"/>
      <c r="C52" s="137"/>
      <c r="D52" s="138"/>
      <c r="E52" s="137"/>
      <c r="F52" s="137"/>
      <c r="G52" s="137"/>
      <c r="H52" s="137"/>
      <c r="I52" s="137"/>
    </row>
    <row r="53" spans="1:9" ht="15.6">
      <c r="A53" s="137"/>
      <c r="B53" s="143" t="s">
        <v>96</v>
      </c>
      <c r="C53" s="137"/>
      <c r="D53" s="138"/>
      <c r="E53" s="137"/>
      <c r="F53" s="137"/>
      <c r="G53" s="137"/>
      <c r="H53" s="137"/>
      <c r="I53" s="137"/>
    </row>
    <row r="54" spans="1:9">
      <c r="A54" s="137"/>
      <c r="B54" s="267" t="s">
        <v>70</v>
      </c>
      <c r="C54" s="267"/>
      <c r="D54" s="267"/>
      <c r="E54" s="267"/>
      <c r="F54" s="267"/>
      <c r="G54" s="137"/>
      <c r="H54" s="137"/>
      <c r="I54" s="137"/>
    </row>
    <row r="55" spans="1:9">
      <c r="A55" s="137"/>
      <c r="B55" s="239" t="s">
        <v>71</v>
      </c>
      <c r="C55" s="240" t="s">
        <v>72</v>
      </c>
      <c r="D55" s="241" t="s">
        <v>73</v>
      </c>
      <c r="E55" s="242" t="s">
        <v>74</v>
      </c>
      <c r="F55" s="239" t="s">
        <v>74</v>
      </c>
      <c r="G55" s="137"/>
      <c r="H55" s="137"/>
      <c r="I55" s="137"/>
    </row>
    <row r="56" spans="1:9">
      <c r="A56" s="137"/>
      <c r="B56" s="243"/>
      <c r="C56" s="244" t="s">
        <v>75</v>
      </c>
      <c r="D56" s="245" t="s">
        <v>76</v>
      </c>
      <c r="E56" s="246" t="s">
        <v>77</v>
      </c>
      <c r="F56" s="243" t="s">
        <v>78</v>
      </c>
      <c r="G56" s="137"/>
      <c r="H56" s="137"/>
      <c r="I56" s="137"/>
    </row>
    <row r="57" spans="1:9">
      <c r="A57" s="137"/>
      <c r="B57" s="247">
        <v>1</v>
      </c>
      <c r="C57" s="248">
        <v>98</v>
      </c>
      <c r="D57" s="249">
        <v>98</v>
      </c>
      <c r="E57" s="247">
        <v>95</v>
      </c>
      <c r="F57" s="247">
        <v>98</v>
      </c>
      <c r="G57" s="137"/>
      <c r="H57" s="137"/>
      <c r="I57" s="137"/>
    </row>
    <row r="58" spans="1:9">
      <c r="A58" s="137"/>
      <c r="B58" s="250">
        <v>2</v>
      </c>
      <c r="C58" s="251">
        <v>98</v>
      </c>
      <c r="D58" s="252">
        <v>98</v>
      </c>
      <c r="E58" s="250">
        <v>95</v>
      </c>
      <c r="F58" s="250">
        <v>95</v>
      </c>
      <c r="G58" s="137"/>
      <c r="H58" s="137"/>
      <c r="I58" s="137"/>
    </row>
    <row r="59" spans="1:9">
      <c r="A59" s="137"/>
      <c r="B59" s="250">
        <v>3</v>
      </c>
      <c r="C59" s="251">
        <v>95</v>
      </c>
      <c r="D59" s="252">
        <v>95</v>
      </c>
      <c r="E59" s="250">
        <v>95</v>
      </c>
      <c r="F59" s="250">
        <v>95</v>
      </c>
      <c r="G59" s="137"/>
      <c r="H59" s="137"/>
      <c r="I59" s="137"/>
    </row>
    <row r="60" spans="1:9">
      <c r="A60" s="137"/>
      <c r="B60" s="250">
        <v>4</v>
      </c>
      <c r="C60" s="251">
        <v>98</v>
      </c>
      <c r="D60" s="252">
        <v>98</v>
      </c>
      <c r="E60" s="250">
        <v>90</v>
      </c>
      <c r="F60" s="250">
        <v>95</v>
      </c>
      <c r="G60" s="137"/>
      <c r="H60" s="137"/>
      <c r="I60" s="137"/>
    </row>
    <row r="61" spans="1:9">
      <c r="A61" s="137"/>
      <c r="B61" s="250">
        <v>5</v>
      </c>
      <c r="C61" s="251">
        <v>95</v>
      </c>
      <c r="D61" s="252">
        <v>95</v>
      </c>
      <c r="E61" s="250">
        <v>90</v>
      </c>
      <c r="F61" s="250">
        <v>95</v>
      </c>
      <c r="G61" s="137"/>
      <c r="H61" s="137"/>
      <c r="I61" s="137"/>
    </row>
    <row r="62" spans="1:9">
      <c r="A62" s="137"/>
      <c r="B62" s="250">
        <v>6</v>
      </c>
      <c r="C62" s="251">
        <v>90</v>
      </c>
      <c r="D62" s="252">
        <v>90</v>
      </c>
      <c r="E62" s="250">
        <v>85</v>
      </c>
      <c r="F62" s="250">
        <v>90</v>
      </c>
      <c r="G62" s="137"/>
      <c r="H62" s="137"/>
      <c r="I62" s="137"/>
    </row>
    <row r="63" spans="1:9">
      <c r="A63" s="137"/>
      <c r="B63" s="250">
        <v>7</v>
      </c>
      <c r="C63" s="251">
        <v>85</v>
      </c>
      <c r="D63" s="252">
        <v>85</v>
      </c>
      <c r="E63" s="250">
        <v>80</v>
      </c>
      <c r="F63" s="250">
        <v>85</v>
      </c>
      <c r="G63" s="137"/>
      <c r="H63" s="137"/>
      <c r="I63" s="137"/>
    </row>
    <row r="64" spans="1:9">
      <c r="A64" s="137"/>
      <c r="B64" s="250">
        <v>8</v>
      </c>
      <c r="C64" s="251">
        <v>80</v>
      </c>
      <c r="D64" s="252">
        <v>80</v>
      </c>
      <c r="E64" s="250">
        <v>75</v>
      </c>
      <c r="F64" s="250">
        <v>80</v>
      </c>
      <c r="G64" s="137"/>
      <c r="H64" s="137"/>
      <c r="I64" s="137"/>
    </row>
    <row r="65" spans="1:9">
      <c r="A65" s="137"/>
      <c r="D65" s="1"/>
      <c r="G65" s="137"/>
      <c r="H65" s="137"/>
      <c r="I65" s="137"/>
    </row>
    <row r="66" spans="1:9" hidden="1"/>
    <row r="67" spans="1:9" ht="14.25" hidden="1" customHeight="1"/>
  </sheetData>
  <sheetProtection password="EB46" sheet="1"/>
  <mergeCells count="1">
    <mergeCell ref="B54:F54"/>
  </mergeCells>
  <phoneticPr fontId="4" type="noConversion"/>
  <conditionalFormatting sqref="B42:H51">
    <cfRule type="cellIs" dxfId="0" priority="1" stopIfTrue="1" operator="equal">
      <formula>$C$73</formula>
    </cfRule>
  </conditionalFormatting>
  <dataValidations count="8">
    <dataValidation type="list" allowBlank="1" showInputMessage="1" showErrorMessage="1" sqref="B6">
      <formula1>"1, 2, 4, 12"</formula1>
    </dataValidation>
    <dataValidation type="decimal" allowBlank="1" showInputMessage="1" showErrorMessage="1" sqref="B5">
      <formula1>0</formula1>
      <formula2>100</formula2>
    </dataValidation>
    <dataValidation type="decimal" operator="greaterThanOrEqual" allowBlank="1" showInputMessage="1" showErrorMessage="1" error="minimum 2 years" sqref="B7">
      <formula1>2</formula1>
    </dataValidation>
    <dataValidation type="list" allowBlank="1" showInputMessage="1" showErrorMessage="1" sqref="B10:B11">
      <formula1>"Y, N"</formula1>
    </dataValidation>
    <dataValidation type="list" allowBlank="1" showInputMessage="1" showErrorMessage="1" sqref="B3">
      <formula1>"1,2,3,4,5,6,7"</formula1>
    </dataValidation>
    <dataValidation type="list" allowBlank="1" showInputMessage="1" showErrorMessage="1" sqref="B4">
      <formula1>"BTS,SOV1,SOV2,SOV3,CC0,CC1,CC2,CC3,CC4,CC5"</formula1>
    </dataValidation>
    <dataValidation type="list" allowBlank="1" showInputMessage="1" showErrorMessage="1" sqref="B8:B9">
      <mc:AlternateContent xmlns:x12ac="http://schemas.microsoft.com/office/spreadsheetml/2011/1/ac" xmlns:mc="http://schemas.openxmlformats.org/markup-compatibility/2006">
        <mc:Choice Requires="x12ac">
          <x12ac:list>",98"," ,95"," ,90"," ,85"," ,80"</x12ac:list>
        </mc:Choice>
        <mc:Fallback>
          <formula1>",98, ,95, ,90, ,85, ,80"</formula1>
        </mc:Fallback>
      </mc:AlternateContent>
    </dataValidation>
    <dataValidation type="decimal" operator="greaterThanOrEqual" allowBlank="1" showInputMessage="1" showErrorMessage="1" error="minimum 100" sqref="B2">
      <formula1>100</formula1>
    </dataValidation>
  </dataValidations>
  <printOptions horizontalCentered="1" verticalCentered="1"/>
  <pageMargins left="0.74803149606299213" right="0.74803149606299213" top="0.15748031496062992" bottom="0.39370078740157483" header="0.15748031496062992" footer="0.39370078740157483"/>
  <pageSetup paperSize="9" scale="4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55"/>
  <sheetViews>
    <sheetView topLeftCell="A10" workbookViewId="0">
      <selection activeCell="N32" sqref="N32"/>
    </sheetView>
  </sheetViews>
  <sheetFormatPr defaultColWidth="9.109375" defaultRowHeight="13.2"/>
  <cols>
    <col min="1" max="1" width="9.88671875" style="6" customWidth="1"/>
    <col min="2" max="3" width="9.109375" style="6"/>
    <col min="4" max="10" width="11.33203125" style="6" customWidth="1"/>
    <col min="11" max="11" width="13.88671875" style="6" customWidth="1"/>
    <col min="12" max="12" width="11" style="6" customWidth="1"/>
    <col min="13" max="19" width="11.5546875" style="6" customWidth="1"/>
    <col min="20" max="16384" width="9.109375" style="6"/>
  </cols>
  <sheetData>
    <row r="1" spans="1:10" ht="19.5" customHeight="1" thickBot="1">
      <c r="A1" s="285" t="s">
        <v>0</v>
      </c>
      <c r="B1" s="286"/>
      <c r="C1" s="287"/>
      <c r="D1" s="268" t="s">
        <v>1</v>
      </c>
      <c r="E1" s="269"/>
      <c r="F1" s="269"/>
      <c r="G1" s="269"/>
      <c r="H1" s="269"/>
      <c r="I1" s="269"/>
      <c r="J1" s="270"/>
    </row>
    <row r="2" spans="1:10" ht="19.5" customHeight="1" thickBot="1">
      <c r="A2" s="288"/>
      <c r="B2" s="289"/>
      <c r="C2" s="290"/>
    </row>
    <row r="3" spans="1:10" ht="25.5" customHeight="1">
      <c r="A3" s="291" t="s">
        <v>19</v>
      </c>
      <c r="B3" s="294" t="s">
        <v>20</v>
      </c>
      <c r="C3" s="295"/>
      <c r="D3" s="10">
        <v>0.09</v>
      </c>
      <c r="E3" s="11">
        <v>0.2</v>
      </c>
      <c r="F3" s="12">
        <v>0.35</v>
      </c>
      <c r="G3" s="11">
        <v>0.55000000000000004</v>
      </c>
      <c r="H3" s="11">
        <v>0.74</v>
      </c>
      <c r="I3" s="11">
        <v>0.9</v>
      </c>
      <c r="J3" s="13">
        <v>1.1000000000000001</v>
      </c>
    </row>
    <row r="4" spans="1:10" ht="25.5" customHeight="1" thickBot="1">
      <c r="A4" s="292"/>
      <c r="B4" s="296" t="s">
        <v>21</v>
      </c>
      <c r="C4" s="297"/>
      <c r="D4" s="14">
        <v>0.35</v>
      </c>
      <c r="E4" s="15">
        <v>0.35</v>
      </c>
      <c r="F4" s="15">
        <v>0.35</v>
      </c>
      <c r="G4" s="15">
        <v>0.35</v>
      </c>
      <c r="H4" s="15">
        <v>0.75</v>
      </c>
      <c r="I4" s="15">
        <v>1.2</v>
      </c>
      <c r="J4" s="16">
        <v>1.8</v>
      </c>
    </row>
    <row r="5" spans="1:10" ht="25.5" customHeight="1" thickBot="1">
      <c r="A5" s="292"/>
      <c r="B5" s="53"/>
      <c r="C5" s="54"/>
      <c r="D5" s="55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7">
        <v>7</v>
      </c>
    </row>
    <row r="6" spans="1:10" ht="25.5" customHeight="1">
      <c r="A6" s="292"/>
      <c r="B6" s="298" t="s">
        <v>22</v>
      </c>
      <c r="C6" s="58" t="s">
        <v>4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1">
        <v>0</v>
      </c>
    </row>
    <row r="7" spans="1:10" ht="25.5" customHeight="1">
      <c r="A7" s="292"/>
      <c r="B7" s="299"/>
      <c r="C7" s="62" t="s">
        <v>41</v>
      </c>
      <c r="D7" s="17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9">
        <v>0</v>
      </c>
    </row>
    <row r="8" spans="1:10" ht="25.5" customHeight="1">
      <c r="A8" s="292"/>
      <c r="B8" s="299"/>
      <c r="C8" s="62" t="s">
        <v>7</v>
      </c>
      <c r="D8" s="17">
        <v>0.11</v>
      </c>
      <c r="E8" s="18">
        <v>0.12</v>
      </c>
      <c r="F8" s="20">
        <v>0.11</v>
      </c>
      <c r="G8" s="18">
        <v>0.1</v>
      </c>
      <c r="H8" s="18">
        <v>0.1</v>
      </c>
      <c r="I8" s="18">
        <v>0.1</v>
      </c>
      <c r="J8" s="19">
        <v>0.125</v>
      </c>
    </row>
    <row r="9" spans="1:10" ht="25.5" customHeight="1">
      <c r="A9" s="292"/>
      <c r="B9" s="299"/>
      <c r="C9" s="62" t="s">
        <v>10</v>
      </c>
      <c r="D9" s="17">
        <v>0.2</v>
      </c>
      <c r="E9" s="18">
        <v>0.21199999999999999</v>
      </c>
      <c r="F9" s="18">
        <v>0.223</v>
      </c>
      <c r="G9" s="18">
        <v>0.23400000000000001</v>
      </c>
      <c r="H9" s="18">
        <v>0.246</v>
      </c>
      <c r="I9" s="18">
        <v>0.25800000000000001</v>
      </c>
      <c r="J9" s="19">
        <v>0.27100000000000002</v>
      </c>
    </row>
    <row r="10" spans="1:10" ht="25.5" customHeight="1">
      <c r="A10" s="292"/>
      <c r="B10" s="299"/>
      <c r="C10" s="62" t="s">
        <v>13</v>
      </c>
      <c r="D10" s="17">
        <v>0.27</v>
      </c>
      <c r="E10" s="18">
        <v>0.32</v>
      </c>
      <c r="F10" s="18">
        <v>0.32</v>
      </c>
      <c r="G10" s="18">
        <v>0.35</v>
      </c>
      <c r="H10" s="18">
        <v>0.38</v>
      </c>
      <c r="I10" s="18">
        <v>0.48</v>
      </c>
      <c r="J10" s="21">
        <v>0</v>
      </c>
    </row>
    <row r="11" spans="1:10" ht="25.5" customHeight="1">
      <c r="A11" s="292"/>
      <c r="B11" s="299"/>
      <c r="C11" s="62" t="s">
        <v>15</v>
      </c>
      <c r="D11" s="17">
        <v>0.40500000000000003</v>
      </c>
      <c r="E11" s="18">
        <v>0.45900000000000002</v>
      </c>
      <c r="F11" s="18">
        <v>0.495</v>
      </c>
      <c r="G11" s="18">
        <v>0.54</v>
      </c>
      <c r="H11" s="18">
        <v>0.621</v>
      </c>
      <c r="I11" s="22">
        <v>0</v>
      </c>
      <c r="J11" s="21">
        <v>0</v>
      </c>
    </row>
    <row r="12" spans="1:10" ht="25.5" customHeight="1" thickBot="1">
      <c r="A12" s="292"/>
      <c r="B12" s="299"/>
      <c r="C12" s="63" t="s">
        <v>17</v>
      </c>
      <c r="D12" s="23">
        <v>0.63</v>
      </c>
      <c r="E12" s="24">
        <v>0.67500000000000004</v>
      </c>
      <c r="F12" s="24">
        <v>0.72</v>
      </c>
      <c r="G12" s="24">
        <v>0.81</v>
      </c>
      <c r="H12" s="25">
        <v>0</v>
      </c>
      <c r="I12" s="25">
        <v>0</v>
      </c>
      <c r="J12" s="26">
        <v>0</v>
      </c>
    </row>
    <row r="13" spans="1:10" ht="25.5" customHeight="1">
      <c r="A13" s="292"/>
      <c r="B13" s="299"/>
      <c r="C13" s="62" t="s">
        <v>38</v>
      </c>
      <c r="D13" s="17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0</v>
      </c>
    </row>
    <row r="14" spans="1:10" ht="25.5" customHeight="1">
      <c r="A14" s="292"/>
      <c r="B14" s="299"/>
      <c r="C14" s="62" t="s">
        <v>39</v>
      </c>
      <c r="D14" s="17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v>0</v>
      </c>
    </row>
    <row r="15" spans="1:10" ht="25.5" customHeight="1" thickBot="1">
      <c r="A15" s="293"/>
      <c r="B15" s="300"/>
      <c r="C15" s="64" t="s">
        <v>40</v>
      </c>
      <c r="D15" s="23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65">
        <v>0</v>
      </c>
    </row>
    <row r="16" spans="1:10" ht="25.5" customHeight="1">
      <c r="A16" s="310" t="s">
        <v>23</v>
      </c>
      <c r="B16" s="311"/>
      <c r="C16" s="312"/>
      <c r="D16" s="102">
        <v>3.5000000000000001E-3</v>
      </c>
      <c r="E16" s="103">
        <v>6.4999999999999997E-3</v>
      </c>
      <c r="F16" s="103">
        <v>1.4999999999999999E-2</v>
      </c>
      <c r="G16" s="103">
        <v>1.7500000000000002E-2</v>
      </c>
      <c r="H16" s="103">
        <v>1.7500000000000002E-2</v>
      </c>
      <c r="I16" s="103">
        <v>0.02</v>
      </c>
      <c r="J16" s="104">
        <v>0.02</v>
      </c>
    </row>
    <row r="17" spans="1:10" ht="25.5" customHeight="1">
      <c r="A17" s="313" t="s">
        <v>54</v>
      </c>
      <c r="B17" s="314"/>
      <c r="C17" s="315"/>
      <c r="D17" s="105">
        <f>IF($K$45="N",1-D16,1)</f>
        <v>1</v>
      </c>
      <c r="E17" s="27">
        <f t="shared" ref="E17:J17" si="0">IF($K$45="N",1-E16,1)</f>
        <v>1</v>
      </c>
      <c r="F17" s="27">
        <f t="shared" si="0"/>
        <v>1</v>
      </c>
      <c r="G17" s="27">
        <f t="shared" si="0"/>
        <v>1</v>
      </c>
      <c r="H17" s="27">
        <f t="shared" si="0"/>
        <v>1</v>
      </c>
      <c r="I17" s="27">
        <f t="shared" si="0"/>
        <v>1</v>
      </c>
      <c r="J17" s="106">
        <f t="shared" si="0"/>
        <v>1</v>
      </c>
    </row>
    <row r="18" spans="1:10" ht="25.5" customHeight="1">
      <c r="A18" s="310" t="s">
        <v>24</v>
      </c>
      <c r="B18" s="311"/>
      <c r="C18" s="312"/>
      <c r="D18" s="107">
        <v>0</v>
      </c>
      <c r="E18" s="28">
        <v>3.3700000000000002E-3</v>
      </c>
      <c r="F18" s="28">
        <v>4.8900000000000002E-3</v>
      </c>
      <c r="G18" s="28">
        <v>1.6389999999999998E-2</v>
      </c>
      <c r="H18" s="28">
        <v>3.6569999999999998E-2</v>
      </c>
      <c r="I18" s="28">
        <v>5.8779999999999999E-2</v>
      </c>
      <c r="J18" s="29">
        <v>8.5980000000000001E-2</v>
      </c>
    </row>
    <row r="19" spans="1:10" ht="25.5" customHeight="1" thickBot="1">
      <c r="A19" s="316" t="s">
        <v>55</v>
      </c>
      <c r="B19" s="317"/>
      <c r="C19" s="318"/>
      <c r="D19" s="105">
        <f>IF(MAX($K$43:$K$44)&lt;=0.95,1,1+((MAX($K$43:$K$44)-0.95)/0.05)*D18)</f>
        <v>1</v>
      </c>
      <c r="E19" s="27">
        <f t="shared" ref="E19:J19" si="1">IF(MAX($K$43:$K$44)&lt;=0.95,1,1+((MAX($K$43:$K$44)-0.95)/0.05)*E18)</f>
        <v>1</v>
      </c>
      <c r="F19" s="27">
        <f t="shared" si="1"/>
        <v>1</v>
      </c>
      <c r="G19" s="27">
        <f t="shared" si="1"/>
        <v>1</v>
      </c>
      <c r="H19" s="27">
        <f t="shared" si="1"/>
        <v>1</v>
      </c>
      <c r="I19" s="27">
        <f t="shared" si="1"/>
        <v>1</v>
      </c>
      <c r="J19" s="106">
        <f t="shared" si="1"/>
        <v>1</v>
      </c>
    </row>
    <row r="20" spans="1:10" ht="25.5" customHeight="1" thickBot="1">
      <c r="A20" s="316" t="s">
        <v>28</v>
      </c>
      <c r="B20" s="317"/>
      <c r="C20" s="318"/>
      <c r="D20" s="108">
        <f>IF($K$46="N",1,1.05)</f>
        <v>1</v>
      </c>
      <c r="E20" s="109">
        <f t="shared" ref="E20:J20" si="2">IF($K$46="N",1,1.05)</f>
        <v>1</v>
      </c>
      <c r="F20" s="109">
        <f t="shared" si="2"/>
        <v>1</v>
      </c>
      <c r="G20" s="109">
        <f t="shared" si="2"/>
        <v>1</v>
      </c>
      <c r="H20" s="109">
        <f t="shared" si="2"/>
        <v>1</v>
      </c>
      <c r="I20" s="109">
        <f t="shared" si="2"/>
        <v>1</v>
      </c>
      <c r="J20" s="110">
        <f t="shared" si="2"/>
        <v>1</v>
      </c>
    </row>
    <row r="22" spans="1:10" ht="12" customHeight="1" thickBot="1"/>
    <row r="23" spans="1:10" ht="22.5" customHeight="1" thickBot="1">
      <c r="A23" s="6" t="s">
        <v>0</v>
      </c>
      <c r="D23" s="268" t="s">
        <v>1</v>
      </c>
      <c r="E23" s="269"/>
      <c r="F23" s="269"/>
      <c r="G23" s="269"/>
      <c r="H23" s="269"/>
      <c r="I23" s="269"/>
      <c r="J23" s="270"/>
    </row>
    <row r="24" spans="1:10" ht="22.5" customHeight="1" thickBot="1">
      <c r="D24" s="7">
        <v>1</v>
      </c>
      <c r="E24" s="8">
        <v>2</v>
      </c>
      <c r="F24" s="8">
        <v>3</v>
      </c>
      <c r="G24" s="8">
        <v>4</v>
      </c>
      <c r="H24" s="8">
        <v>5</v>
      </c>
      <c r="I24" s="8">
        <v>6</v>
      </c>
      <c r="J24" s="9">
        <v>7</v>
      </c>
    </row>
    <row r="25" spans="1:10" ht="22.5" customHeight="1" thickBot="1">
      <c r="A25" s="279" t="s">
        <v>3</v>
      </c>
      <c r="B25" s="279"/>
      <c r="C25" s="30" t="s">
        <v>4</v>
      </c>
      <c r="D25" s="111">
        <f>+D32*0.9</f>
        <v>0.40409999999999996</v>
      </c>
      <c r="E25" s="111">
        <f t="shared" ref="E25:J25" si="3">+E32*0.9</f>
        <v>0.51300000000000012</v>
      </c>
      <c r="F25" s="111">
        <f t="shared" si="3"/>
        <v>0.66149999999999998</v>
      </c>
      <c r="G25" s="111">
        <f t="shared" si="3"/>
        <v>0.85950000000000004</v>
      </c>
      <c r="H25" s="111">
        <f t="shared" si="3"/>
        <v>1.4076000000000002</v>
      </c>
      <c r="I25" s="111">
        <f t="shared" si="3"/>
        <v>1.9710000000000001</v>
      </c>
      <c r="J25" s="113">
        <f t="shared" si="3"/>
        <v>2.7090000000000001</v>
      </c>
    </row>
    <row r="26" spans="1:10" ht="22.5" customHeight="1" thickBot="1">
      <c r="A26" s="319"/>
      <c r="B26" s="319"/>
      <c r="C26" s="31" t="s">
        <v>41</v>
      </c>
      <c r="D26" s="111">
        <f t="shared" ref="D26:J26" si="4">(((D$3*$E$40+D$4)*MAX($K$43:$K$44)/0.95)+(D7*$K$43/0.95*$E$40))*D$17*D$19*D$20</f>
        <v>0.44899999999999995</v>
      </c>
      <c r="E26" s="111">
        <f t="shared" si="4"/>
        <v>0.57000000000000006</v>
      </c>
      <c r="F26" s="111">
        <f t="shared" si="4"/>
        <v>0.73499999999999999</v>
      </c>
      <c r="G26" s="111">
        <f t="shared" si="4"/>
        <v>0.95500000000000007</v>
      </c>
      <c r="H26" s="111">
        <f t="shared" si="4"/>
        <v>1.5640000000000001</v>
      </c>
      <c r="I26" s="111">
        <f t="shared" si="4"/>
        <v>2.19</v>
      </c>
      <c r="J26" s="114">
        <f t="shared" si="4"/>
        <v>3.0100000000000002</v>
      </c>
    </row>
    <row r="27" spans="1:10" ht="22.5" customHeight="1" thickBot="1">
      <c r="A27" s="319"/>
      <c r="B27" s="319"/>
      <c r="C27" s="32" t="s">
        <v>7</v>
      </c>
      <c r="D27" s="111">
        <f t="shared" ref="D27:D32" si="5">(((D$3*$E$40+D$4)*MAX($K$43:$K$44)/0.95)+(D8*$K$43/0.95*$E$40))*D$17*D$19*D$20</f>
        <v>0.56363157894736837</v>
      </c>
      <c r="E27" s="111">
        <f t="shared" ref="E27:J27" si="6">(((E$3*$E$40+E$4)*MAX($K$43:$K$44)/0.95)+(E8*$K$43/0.95*$E$40))*E$17*E$19*E$20</f>
        <v>0.69505263157894748</v>
      </c>
      <c r="F27" s="111">
        <f t="shared" si="6"/>
        <v>0.8496315789473684</v>
      </c>
      <c r="G27" s="111">
        <f t="shared" si="6"/>
        <v>1.0592105263157896</v>
      </c>
      <c r="H27" s="111">
        <f t="shared" si="6"/>
        <v>1.6682105263157896</v>
      </c>
      <c r="I27" s="111">
        <f t="shared" si="6"/>
        <v>2.2942105263157893</v>
      </c>
      <c r="J27" s="114">
        <f t="shared" si="6"/>
        <v>3.1402631578947373</v>
      </c>
    </row>
    <row r="28" spans="1:10" ht="22.5" customHeight="1" thickBot="1">
      <c r="A28" s="319"/>
      <c r="B28" s="319"/>
      <c r="C28" s="32" t="s">
        <v>10</v>
      </c>
      <c r="D28" s="111">
        <f t="shared" si="5"/>
        <v>0.65742105263157891</v>
      </c>
      <c r="E28" s="111">
        <f t="shared" ref="E28:J29" si="7">(((E$3*$E$40+E$4)*MAX($K$43:$K$44)/0.95)+(E9*$K$43/0.95*$E$40))*E$17*E$19*E$20</f>
        <v>0.79092631578947381</v>
      </c>
      <c r="F28" s="111">
        <f t="shared" si="7"/>
        <v>0.96738947368421058</v>
      </c>
      <c r="G28" s="111">
        <f t="shared" si="7"/>
        <v>1.1988526315789474</v>
      </c>
      <c r="H28" s="111">
        <f t="shared" si="7"/>
        <v>1.8203578947368422</v>
      </c>
      <c r="I28" s="111">
        <f t="shared" si="7"/>
        <v>2.4588631578947369</v>
      </c>
      <c r="J28" s="114">
        <f t="shared" si="7"/>
        <v>3.2924105263157899</v>
      </c>
    </row>
    <row r="29" spans="1:10" ht="22.5" customHeight="1" thickBot="1">
      <c r="A29" s="319"/>
      <c r="B29" s="319"/>
      <c r="C29" s="32" t="s">
        <v>13</v>
      </c>
      <c r="D29" s="111">
        <f t="shared" si="5"/>
        <v>0.73036842105263156</v>
      </c>
      <c r="E29" s="111">
        <f t="shared" si="7"/>
        <v>0.90347368421052643</v>
      </c>
      <c r="F29" s="111">
        <f t="shared" ref="E29:F31" si="8">(((F$3*$E$40+F$4)*MAX($K$43:$K$44)/0.95)+(F10*$K$43/0.95*$E$40))*F$17*F$19*F$20</f>
        <v>1.0684736842105265</v>
      </c>
      <c r="G29" s="111">
        <f t="shared" si="7"/>
        <v>1.3197368421052633</v>
      </c>
      <c r="H29" s="111">
        <f>(((H$3*$E$40+H$4)*MAX($K$43:$K$44)/0.95)+(H10*$K$43/0.95*$E$40))*H$17*H$19*H$20</f>
        <v>1.9600000000000002</v>
      </c>
      <c r="I29" s="114">
        <f>(((I$3*$E$40+I$4)*MAX($K$43:$K$44)/0.95)+(I10*$K$43/0.95*$E$40))*I$17*I$19*I$20</f>
        <v>2.6902105263157896</v>
      </c>
      <c r="J29" s="33" t="s">
        <v>115</v>
      </c>
    </row>
    <row r="30" spans="1:10" ht="22.5" customHeight="1" thickBot="1">
      <c r="A30" s="319"/>
      <c r="B30" s="319"/>
      <c r="C30" s="32" t="s">
        <v>15</v>
      </c>
      <c r="D30" s="111">
        <f t="shared" si="5"/>
        <v>0.87105263157894741</v>
      </c>
      <c r="E30" s="111">
        <f t="shared" si="8"/>
        <v>1.0483263157894738</v>
      </c>
      <c r="F30" s="111">
        <f t="shared" si="8"/>
        <v>1.250842105263158</v>
      </c>
      <c r="G30" s="114">
        <f>(((G$3*$E$40+G$4)*MAX($K$43:$K$44)/0.95)+(G11*$K$43/0.95*$E$40))*G$17*G$19*G$20</f>
        <v>1.5177368421052635</v>
      </c>
      <c r="H30" s="114">
        <f>(((H$3*$E$40+H$4)*MAX($K$43:$K$44)/0.95)+(H11*$K$43/0.95*$E$40))*H$17*H$19*H$20</f>
        <v>2.2111473684210528</v>
      </c>
      <c r="I30" s="33" t="s">
        <v>115</v>
      </c>
      <c r="J30" s="33" t="s">
        <v>115</v>
      </c>
    </row>
    <row r="31" spans="1:10" ht="22.5" customHeight="1" thickBot="1">
      <c r="A31" s="319"/>
      <c r="B31" s="319"/>
      <c r="C31" s="34" t="s">
        <v>17</v>
      </c>
      <c r="D31" s="111">
        <f t="shared" si="5"/>
        <v>1.1055263157894739</v>
      </c>
      <c r="E31" s="111">
        <f t="shared" si="8"/>
        <v>1.2734210526315792</v>
      </c>
      <c r="F31" s="111">
        <f t="shared" si="8"/>
        <v>1.4853157894736841</v>
      </c>
      <c r="G31" s="114">
        <f>(((G$3*$E$40+G$4)*MAX($K$43:$K$44)/0.95)+(G12*$K$43/0.95*$E$40))*G$17*G$19*G$20</f>
        <v>1.799105263157895</v>
      </c>
      <c r="H31" s="33" t="s">
        <v>115</v>
      </c>
      <c r="I31" s="33" t="s">
        <v>115</v>
      </c>
      <c r="J31" s="33" t="s">
        <v>115</v>
      </c>
    </row>
    <row r="32" spans="1:10" ht="22.5" customHeight="1" thickBot="1">
      <c r="A32" s="319"/>
      <c r="B32" s="319"/>
      <c r="C32" s="32" t="s">
        <v>38</v>
      </c>
      <c r="D32" s="111">
        <f t="shared" si="5"/>
        <v>0.44899999999999995</v>
      </c>
      <c r="E32" s="111">
        <f t="shared" ref="E32:J32" si="9">(((E$3*$E$40+E$4)*MAX($K$43:$K$44)/0.95)+(E13*$K$43/0.95*$E$40))*E$17*E$19*E$20</f>
        <v>0.57000000000000006</v>
      </c>
      <c r="F32" s="111">
        <f t="shared" si="9"/>
        <v>0.73499999999999999</v>
      </c>
      <c r="G32" s="111">
        <f t="shared" si="9"/>
        <v>0.95500000000000007</v>
      </c>
      <c r="H32" s="111">
        <f t="shared" si="9"/>
        <v>1.5640000000000001</v>
      </c>
      <c r="I32" s="111">
        <f t="shared" si="9"/>
        <v>2.19</v>
      </c>
      <c r="J32" s="114">
        <f t="shared" si="9"/>
        <v>3.0100000000000002</v>
      </c>
    </row>
    <row r="33" spans="1:13" ht="22.5" customHeight="1" thickBot="1">
      <c r="A33" s="319"/>
      <c r="B33" s="319"/>
      <c r="C33" s="32" t="s">
        <v>39</v>
      </c>
      <c r="D33" s="111">
        <f>+D32*1.05</f>
        <v>0.47144999999999998</v>
      </c>
      <c r="E33" s="111">
        <f t="shared" ref="E33:J33" si="10">+E32*1.05</f>
        <v>0.59850000000000014</v>
      </c>
      <c r="F33" s="111">
        <f t="shared" si="10"/>
        <v>0.77175000000000005</v>
      </c>
      <c r="G33" s="111">
        <f t="shared" si="10"/>
        <v>1.00275</v>
      </c>
      <c r="H33" s="111">
        <f t="shared" si="10"/>
        <v>1.6422000000000001</v>
      </c>
      <c r="I33" s="111">
        <f t="shared" si="10"/>
        <v>2.2995000000000001</v>
      </c>
      <c r="J33" s="113">
        <f t="shared" si="10"/>
        <v>3.1605000000000003</v>
      </c>
    </row>
    <row r="34" spans="1:13" ht="22.5" customHeight="1" thickBot="1">
      <c r="A34" s="320"/>
      <c r="B34" s="320"/>
      <c r="C34" s="34" t="s">
        <v>40</v>
      </c>
      <c r="D34" s="112">
        <f>+D32*1.1</f>
        <v>0.49390000000000001</v>
      </c>
      <c r="E34" s="112">
        <f t="shared" ref="E34:J34" si="11">+E32*1.1</f>
        <v>0.62700000000000011</v>
      </c>
      <c r="F34" s="112">
        <f t="shared" si="11"/>
        <v>0.8085</v>
      </c>
      <c r="G34" s="112">
        <f t="shared" si="11"/>
        <v>1.0505000000000002</v>
      </c>
      <c r="H34" s="112">
        <f t="shared" si="11"/>
        <v>1.7204000000000002</v>
      </c>
      <c r="I34" s="112">
        <f t="shared" si="11"/>
        <v>2.4090000000000003</v>
      </c>
      <c r="J34" s="114">
        <f t="shared" si="11"/>
        <v>3.3110000000000004</v>
      </c>
    </row>
    <row r="36" spans="1:13" ht="13.8" thickBot="1"/>
    <row r="37" spans="1:13" ht="19.5" customHeight="1">
      <c r="A37" s="301" t="s">
        <v>2</v>
      </c>
      <c r="B37" s="302"/>
      <c r="C37" s="302"/>
      <c r="D37" s="302"/>
      <c r="E37" s="303"/>
      <c r="G37" s="47" t="s">
        <v>35</v>
      </c>
      <c r="H37" s="43"/>
      <c r="I37" s="48"/>
      <c r="J37" s="48"/>
      <c r="K37" s="116">
        <f>+WEB!B2</f>
        <v>0</v>
      </c>
    </row>
    <row r="38" spans="1:13" ht="19.5" customHeight="1">
      <c r="A38" s="304"/>
      <c r="B38" s="305"/>
      <c r="C38" s="305"/>
      <c r="D38" s="305"/>
      <c r="E38" s="306"/>
      <c r="G38" s="49" t="s">
        <v>1</v>
      </c>
      <c r="H38" s="50"/>
      <c r="I38" s="50"/>
      <c r="J38" s="50"/>
      <c r="K38" s="115">
        <f>+WEB!B3</f>
        <v>0</v>
      </c>
    </row>
    <row r="39" spans="1:13" ht="19.5" customHeight="1">
      <c r="A39" s="307" t="s">
        <v>56</v>
      </c>
      <c r="B39" s="308"/>
      <c r="C39" s="308"/>
      <c r="D39" s="309"/>
      <c r="E39" s="35">
        <f ca="1">INDIRECT(ADDRESS(ROW(D3),COLUMN(D3)+K38-1))</f>
        <v>0</v>
      </c>
      <c r="G39" s="44" t="s">
        <v>3</v>
      </c>
      <c r="H39" s="42"/>
      <c r="I39" s="42"/>
      <c r="J39" s="42"/>
      <c r="K39" s="117">
        <f>+WEB!B4</f>
        <v>0</v>
      </c>
    </row>
    <row r="40" spans="1:13" ht="19.5" customHeight="1">
      <c r="A40" s="321" t="s">
        <v>6</v>
      </c>
      <c r="B40" s="322"/>
      <c r="C40" s="322"/>
      <c r="D40" s="323"/>
      <c r="E40" s="36">
        <f>+K59</f>
        <v>1.1000000000000001</v>
      </c>
      <c r="G40" s="49" t="s">
        <v>29</v>
      </c>
      <c r="H40" s="50"/>
      <c r="I40" s="50"/>
      <c r="J40" s="50"/>
      <c r="K40" s="174">
        <f>ROUND(+WEB!B5,0)</f>
        <v>0</v>
      </c>
    </row>
    <row r="41" spans="1:13" ht="19.5" customHeight="1">
      <c r="A41" s="321" t="s">
        <v>9</v>
      </c>
      <c r="B41" s="322"/>
      <c r="C41" s="322"/>
      <c r="D41" s="323"/>
      <c r="E41" s="37">
        <f ca="1">INDIRECT(ADDRESS(ROW(D4),COLUMN(D4)+K38-1))</f>
        <v>0</v>
      </c>
      <c r="G41" s="49" t="s">
        <v>30</v>
      </c>
      <c r="H41" s="50"/>
      <c r="I41" s="50"/>
      <c r="J41" s="50"/>
      <c r="K41" s="174">
        <f>+WEB!B6</f>
        <v>2</v>
      </c>
    </row>
    <row r="42" spans="1:13" ht="19.5" customHeight="1">
      <c r="A42" s="321" t="s">
        <v>12</v>
      </c>
      <c r="B42" s="322"/>
      <c r="C42" s="322"/>
      <c r="D42" s="323"/>
      <c r="E42" s="38" t="e">
        <f>VLOOKUP(K39,C5:J15,K38+1)</f>
        <v>#N/A</v>
      </c>
      <c r="G42" s="49" t="s">
        <v>5</v>
      </c>
      <c r="H42" s="50"/>
      <c r="I42" s="50"/>
      <c r="J42" s="50"/>
      <c r="K42" s="175">
        <f>+ROUND(WEB!B7*12,0)/12</f>
        <v>0</v>
      </c>
      <c r="L42" s="176" t="s">
        <v>118</v>
      </c>
      <c r="M42" s="175">
        <f>+ROUND(WEB!B7*12,0)</f>
        <v>0</v>
      </c>
    </row>
    <row r="43" spans="1:13" ht="19.5" customHeight="1">
      <c r="A43" s="321" t="s">
        <v>14</v>
      </c>
      <c r="B43" s="322"/>
      <c r="C43" s="322"/>
      <c r="D43" s="323"/>
      <c r="E43" s="39">
        <f ca="1">INDIRECT(ADDRESS(ROW(D17),COLUMN(D17)+K38-1))</f>
        <v>0</v>
      </c>
      <c r="G43" s="51" t="s">
        <v>8</v>
      </c>
      <c r="H43" s="52"/>
      <c r="I43" s="52"/>
      <c r="J43" s="52"/>
      <c r="K43" s="177">
        <f>+WEB!B8</f>
        <v>0.9</v>
      </c>
    </row>
    <row r="44" spans="1:13" ht="19.5" customHeight="1">
      <c r="A44" s="321" t="s">
        <v>16</v>
      </c>
      <c r="B44" s="322"/>
      <c r="C44" s="322"/>
      <c r="D44" s="323"/>
      <c r="E44" s="39">
        <f ca="1">INDIRECT(ADDRESS(ROW(D19),COLUMN(D19)+K38-1))</f>
        <v>0</v>
      </c>
      <c r="G44" s="49" t="s">
        <v>11</v>
      </c>
      <c r="H44" s="50"/>
      <c r="I44" s="50"/>
      <c r="J44" s="50"/>
      <c r="K44" s="174">
        <f>+WEB!B9</f>
        <v>0.95</v>
      </c>
    </row>
    <row r="45" spans="1:13" ht="19.5" customHeight="1" thickBot="1">
      <c r="A45" s="324" t="s">
        <v>18</v>
      </c>
      <c r="B45" s="325"/>
      <c r="C45" s="325"/>
      <c r="D45" s="326"/>
      <c r="E45" s="40">
        <f>IF(K39="BTS",0.9,1)</f>
        <v>1</v>
      </c>
      <c r="G45" s="49" t="s">
        <v>25</v>
      </c>
      <c r="H45" s="50"/>
      <c r="I45" s="50"/>
      <c r="J45" s="50"/>
      <c r="K45" s="117" t="str">
        <f>+WEB!B10</f>
        <v>Y</v>
      </c>
    </row>
    <row r="46" spans="1:13" ht="19.5" customHeight="1" thickBot="1">
      <c r="G46" s="45" t="s">
        <v>27</v>
      </c>
      <c r="H46" s="46"/>
      <c r="I46" s="41"/>
      <c r="J46" s="41"/>
      <c r="K46" s="118" t="str">
        <f>+WEB!B11</f>
        <v>N</v>
      </c>
    </row>
    <row r="48" spans="1:13" ht="13.8" thickBot="1"/>
    <row r="49" spans="1:13">
      <c r="A49" s="121" t="s">
        <v>68</v>
      </c>
      <c r="B49" s="3"/>
      <c r="C49" s="3"/>
      <c r="D49" s="122" t="e">
        <f>VLOOKUP(K39,C24:J34,K38+1,2)</f>
        <v>#N/A</v>
      </c>
      <c r="G49" s="76" t="s">
        <v>57</v>
      </c>
      <c r="H49" s="78"/>
      <c r="I49" s="77"/>
      <c r="J49" s="77"/>
      <c r="K49" s="78"/>
      <c r="L49" s="68"/>
      <c r="M49" s="68"/>
    </row>
    <row r="50" spans="1:13">
      <c r="A50" s="123"/>
      <c r="B50" s="4"/>
      <c r="C50" s="4"/>
      <c r="D50" s="124" t="e">
        <f>+ROUND(D49,2)</f>
        <v>#N/A</v>
      </c>
      <c r="G50" s="79" t="s">
        <v>58</v>
      </c>
      <c r="H50" s="81"/>
      <c r="I50" s="80"/>
      <c r="J50" s="80"/>
      <c r="K50" s="81"/>
      <c r="L50" s="68"/>
      <c r="M50" s="68"/>
    </row>
    <row r="51" spans="1:13">
      <c r="A51" s="123"/>
      <c r="B51" s="4"/>
      <c r="C51" s="4"/>
      <c r="D51" s="124"/>
      <c r="G51" s="82" t="s">
        <v>59</v>
      </c>
      <c r="H51" s="95" t="s">
        <v>60</v>
      </c>
      <c r="I51" s="80"/>
      <c r="J51" s="80"/>
      <c r="K51" s="81"/>
      <c r="L51" s="68"/>
      <c r="M51" s="68"/>
    </row>
    <row r="52" spans="1:13" ht="13.8" thickBot="1">
      <c r="A52" s="125" t="s">
        <v>69</v>
      </c>
      <c r="B52" s="5"/>
      <c r="C52" s="5"/>
      <c r="D52" s="126" t="e">
        <f>ROUND((100*$D$49)/(100-$D$49),2)</f>
        <v>#N/A</v>
      </c>
      <c r="G52" s="84">
        <v>0</v>
      </c>
      <c r="H52" s="119">
        <v>0.45</v>
      </c>
      <c r="I52" s="80"/>
      <c r="J52" s="85" t="s">
        <v>61</v>
      </c>
      <c r="K52" s="86">
        <f>+K40</f>
        <v>0</v>
      </c>
      <c r="L52" s="71"/>
      <c r="M52" s="74"/>
    </row>
    <row r="53" spans="1:13" ht="13.8" thickBot="1">
      <c r="G53" s="84">
        <f t="shared" ref="G53:G68" si="12">+G52+1</f>
        <v>1</v>
      </c>
      <c r="H53" s="119">
        <v>0.95</v>
      </c>
      <c r="I53" s="80"/>
      <c r="J53" s="85" t="s">
        <v>62</v>
      </c>
      <c r="K53" s="86">
        <f>((1/K41)+K42)*6</f>
        <v>3</v>
      </c>
      <c r="L53" s="74"/>
      <c r="M53" s="74"/>
    </row>
    <row r="54" spans="1:13">
      <c r="A54" s="127" t="s">
        <v>36</v>
      </c>
      <c r="B54" s="128"/>
      <c r="C54" s="129"/>
      <c r="G54" s="84"/>
      <c r="H54" s="119"/>
      <c r="I54" s="80"/>
      <c r="J54" s="80"/>
      <c r="K54" s="87"/>
      <c r="L54" s="70"/>
      <c r="M54" s="74"/>
    </row>
    <row r="55" spans="1:13">
      <c r="A55" s="130"/>
      <c r="B55" s="131"/>
      <c r="C55" s="132"/>
      <c r="G55" s="84">
        <f>+G53+1</f>
        <v>2</v>
      </c>
      <c r="H55" s="119">
        <v>1.0249999999999999</v>
      </c>
      <c r="I55" s="80"/>
      <c r="J55" s="88" t="s">
        <v>63</v>
      </c>
      <c r="K55" s="89">
        <f>ROUND(VLOOKUP(K53,G52:H68,2),4)</f>
        <v>1.1000000000000001</v>
      </c>
      <c r="L55" s="70"/>
      <c r="M55" s="68"/>
    </row>
    <row r="56" spans="1:13">
      <c r="A56" s="130"/>
      <c r="B56" s="131"/>
      <c r="C56" s="133"/>
      <c r="G56" s="84">
        <f t="shared" si="12"/>
        <v>3</v>
      </c>
      <c r="H56" s="119">
        <v>1.1000000000000001</v>
      </c>
      <c r="I56" s="80"/>
      <c r="J56" s="83"/>
      <c r="K56" s="89"/>
      <c r="L56" s="72"/>
      <c r="M56" s="68"/>
    </row>
    <row r="57" spans="1:13" ht="13.8" thickBot="1">
      <c r="A57" s="134"/>
      <c r="B57" s="135"/>
      <c r="C57" s="136"/>
      <c r="G57" s="84">
        <f t="shared" si="12"/>
        <v>4</v>
      </c>
      <c r="H57" s="119">
        <v>1.175</v>
      </c>
      <c r="I57" s="80"/>
      <c r="J57" s="90" t="s">
        <v>66</v>
      </c>
      <c r="K57" s="89">
        <f>+K52/24</f>
        <v>0</v>
      </c>
      <c r="L57" s="73"/>
      <c r="M57" s="71"/>
    </row>
    <row r="58" spans="1:13">
      <c r="G58" s="84">
        <f t="shared" si="12"/>
        <v>5</v>
      </c>
      <c r="H58" s="119">
        <v>1.25</v>
      </c>
      <c r="I58" s="80"/>
      <c r="J58" s="90" t="s">
        <v>64</v>
      </c>
      <c r="K58" s="91">
        <f>((((1/K41)+K42)/2)-0.25)*2</f>
        <v>0</v>
      </c>
      <c r="L58" s="73"/>
      <c r="M58" s="75"/>
    </row>
    <row r="59" spans="1:13">
      <c r="G59" s="84">
        <f t="shared" si="12"/>
        <v>6</v>
      </c>
      <c r="H59" s="119">
        <v>1.325</v>
      </c>
      <c r="I59" s="80"/>
      <c r="J59" s="101" t="s">
        <v>65</v>
      </c>
      <c r="K59" s="92">
        <f>ROUND(IF(K58&gt;=2,K58+K57,+K55+K57),4)</f>
        <v>1.1000000000000001</v>
      </c>
      <c r="L59" s="73"/>
      <c r="M59" s="68"/>
    </row>
    <row r="60" spans="1:13">
      <c r="G60" s="84">
        <f t="shared" si="12"/>
        <v>7</v>
      </c>
      <c r="H60" s="119">
        <v>1.4</v>
      </c>
      <c r="I60" s="80"/>
      <c r="J60" s="90"/>
      <c r="K60" s="93"/>
      <c r="L60" s="73"/>
      <c r="M60" s="69"/>
    </row>
    <row r="61" spans="1:13">
      <c r="G61" s="84">
        <f t="shared" si="12"/>
        <v>8</v>
      </c>
      <c r="H61" s="119">
        <v>1.4750000000000001</v>
      </c>
      <c r="I61" s="80"/>
      <c r="J61" s="83"/>
      <c r="K61" s="94"/>
      <c r="L61" s="73"/>
      <c r="M61" s="69"/>
    </row>
    <row r="62" spans="1:13">
      <c r="G62" s="84">
        <f t="shared" si="12"/>
        <v>9</v>
      </c>
      <c r="H62" s="119">
        <v>1.55</v>
      </c>
      <c r="I62" s="80"/>
      <c r="J62" s="90"/>
      <c r="K62" s="95"/>
      <c r="L62" s="69"/>
      <c r="M62" s="69"/>
    </row>
    <row r="63" spans="1:13">
      <c r="G63" s="84">
        <f t="shared" si="12"/>
        <v>10</v>
      </c>
      <c r="H63" s="119">
        <v>1.625</v>
      </c>
      <c r="I63" s="80"/>
      <c r="J63" s="96"/>
      <c r="K63" s="95"/>
      <c r="L63" s="69"/>
      <c r="M63" s="69"/>
    </row>
    <row r="64" spans="1:13">
      <c r="G64" s="84">
        <f t="shared" si="12"/>
        <v>11</v>
      </c>
      <c r="H64" s="119">
        <v>1.7</v>
      </c>
      <c r="I64" s="80"/>
      <c r="J64" s="96"/>
      <c r="K64" s="95"/>
      <c r="L64" s="69"/>
      <c r="M64" s="69"/>
    </row>
    <row r="65" spans="1:13">
      <c r="G65" s="84">
        <f t="shared" si="12"/>
        <v>12</v>
      </c>
      <c r="H65" s="119">
        <v>1.7749999999999999</v>
      </c>
      <c r="I65" s="80"/>
      <c r="J65" s="96"/>
      <c r="K65" s="95"/>
      <c r="L65" s="69"/>
      <c r="M65" s="69"/>
    </row>
    <row r="66" spans="1:13">
      <c r="G66" s="84"/>
      <c r="H66" s="119"/>
      <c r="I66" s="80"/>
      <c r="J66" s="96"/>
      <c r="K66" s="81"/>
      <c r="L66" s="68"/>
      <c r="M66" s="69"/>
    </row>
    <row r="67" spans="1:13">
      <c r="G67" s="84">
        <f>+G65+1</f>
        <v>13</v>
      </c>
      <c r="H67" s="119">
        <v>1.85</v>
      </c>
      <c r="I67" s="97"/>
      <c r="J67" s="80"/>
      <c r="K67" s="81"/>
      <c r="L67" s="68"/>
      <c r="M67" s="69"/>
    </row>
    <row r="68" spans="1:13" ht="13.8" thickBot="1">
      <c r="G68" s="98">
        <f t="shared" si="12"/>
        <v>14</v>
      </c>
      <c r="H68" s="120">
        <v>1.925</v>
      </c>
      <c r="I68" s="99"/>
      <c r="J68" s="99"/>
      <c r="K68" s="100"/>
      <c r="L68" s="68"/>
      <c r="M68" s="69"/>
    </row>
    <row r="69" spans="1:13">
      <c r="G69" s="66"/>
      <c r="H69" s="66"/>
      <c r="I69" s="66"/>
      <c r="J69" s="66"/>
      <c r="K69" s="66"/>
      <c r="L69" s="66"/>
      <c r="M69" s="67"/>
    </row>
    <row r="73" spans="1:13" ht="13.8" thickBot="1">
      <c r="A73" s="264" t="s">
        <v>132</v>
      </c>
    </row>
    <row r="74" spans="1:13" ht="17.25" customHeight="1" thickBot="1">
      <c r="A74" s="156" t="s">
        <v>0</v>
      </c>
      <c r="B74" s="156" t="s">
        <v>97</v>
      </c>
      <c r="C74" s="156"/>
      <c r="D74" s="268" t="s">
        <v>1</v>
      </c>
      <c r="E74" s="269"/>
      <c r="F74" s="269"/>
      <c r="G74" s="269"/>
      <c r="H74" s="269"/>
      <c r="I74" s="269"/>
      <c r="J74" s="270"/>
    </row>
    <row r="75" spans="1:13" ht="17.25" customHeight="1" thickBot="1">
      <c r="A75" s="156" t="s">
        <v>98</v>
      </c>
      <c r="B75" s="156"/>
      <c r="C75" s="156"/>
      <c r="D75" s="7">
        <v>1</v>
      </c>
      <c r="E75" s="8">
        <v>2</v>
      </c>
      <c r="F75" s="8">
        <v>3</v>
      </c>
      <c r="G75" s="8">
        <v>4</v>
      </c>
      <c r="H75" s="8">
        <v>5</v>
      </c>
      <c r="I75" s="8">
        <v>6</v>
      </c>
      <c r="J75" s="9">
        <v>7</v>
      </c>
    </row>
    <row r="76" spans="1:13" ht="17.25" customHeight="1" thickBot="1">
      <c r="A76" s="279" t="s">
        <v>3</v>
      </c>
      <c r="B76" s="279"/>
      <c r="C76" s="30" t="s">
        <v>4</v>
      </c>
      <c r="D76" s="146">
        <f t="shared" ref="D76:J76" si="13">+ROUND(D25*1.03,2)</f>
        <v>0.42</v>
      </c>
      <c r="E76" s="146">
        <f t="shared" si="13"/>
        <v>0.53</v>
      </c>
      <c r="F76" s="146">
        <f t="shared" si="13"/>
        <v>0.68</v>
      </c>
      <c r="G76" s="146">
        <f t="shared" si="13"/>
        <v>0.89</v>
      </c>
      <c r="H76" s="146">
        <f t="shared" si="13"/>
        <v>1.45</v>
      </c>
      <c r="I76" s="146">
        <f t="shared" si="13"/>
        <v>2.0299999999999998</v>
      </c>
      <c r="J76" s="147">
        <f t="shared" si="13"/>
        <v>2.79</v>
      </c>
    </row>
    <row r="77" spans="1:13" ht="17.25" customHeight="1" thickBot="1">
      <c r="A77" s="280"/>
      <c r="B77" s="280"/>
      <c r="C77" s="31" t="s">
        <v>41</v>
      </c>
      <c r="D77" s="146">
        <f t="shared" ref="D77:G85" si="14">+ROUND(D26*1.03,2)</f>
        <v>0.46</v>
      </c>
      <c r="E77" s="146">
        <f t="shared" si="14"/>
        <v>0.59</v>
      </c>
      <c r="F77" s="146">
        <f t="shared" si="14"/>
        <v>0.76</v>
      </c>
      <c r="G77" s="146">
        <f t="shared" si="14"/>
        <v>0.98</v>
      </c>
      <c r="H77" s="146">
        <f t="shared" ref="H77:J79" si="15">+ROUND(H26*1.03,2)</f>
        <v>1.61</v>
      </c>
      <c r="I77" s="146">
        <f t="shared" si="15"/>
        <v>2.2599999999999998</v>
      </c>
      <c r="J77" s="147">
        <f t="shared" si="15"/>
        <v>3.1</v>
      </c>
    </row>
    <row r="78" spans="1:13" ht="17.25" customHeight="1" thickBot="1">
      <c r="A78" s="280"/>
      <c r="B78" s="280"/>
      <c r="C78" s="32" t="s">
        <v>7</v>
      </c>
      <c r="D78" s="146">
        <f t="shared" si="14"/>
        <v>0.57999999999999996</v>
      </c>
      <c r="E78" s="146">
        <f t="shared" si="14"/>
        <v>0.72</v>
      </c>
      <c r="F78" s="146">
        <f t="shared" si="14"/>
        <v>0.88</v>
      </c>
      <c r="G78" s="146">
        <f t="shared" si="14"/>
        <v>1.0900000000000001</v>
      </c>
      <c r="H78" s="146">
        <f t="shared" si="15"/>
        <v>1.72</v>
      </c>
      <c r="I78" s="146">
        <f t="shared" si="15"/>
        <v>2.36</v>
      </c>
      <c r="J78" s="147">
        <f t="shared" si="15"/>
        <v>3.23</v>
      </c>
    </row>
    <row r="79" spans="1:13" ht="17.25" customHeight="1" thickBot="1">
      <c r="A79" s="280"/>
      <c r="B79" s="280"/>
      <c r="C79" s="32" t="s">
        <v>10</v>
      </c>
      <c r="D79" s="146">
        <f t="shared" si="14"/>
        <v>0.68</v>
      </c>
      <c r="E79" s="146">
        <f t="shared" si="14"/>
        <v>0.81</v>
      </c>
      <c r="F79" s="146">
        <f t="shared" si="14"/>
        <v>1</v>
      </c>
      <c r="G79" s="146">
        <f t="shared" si="14"/>
        <v>1.23</v>
      </c>
      <c r="H79" s="146">
        <f t="shared" si="15"/>
        <v>1.87</v>
      </c>
      <c r="I79" s="146">
        <f t="shared" si="15"/>
        <v>2.5299999999999998</v>
      </c>
      <c r="J79" s="148">
        <f t="shared" si="15"/>
        <v>3.39</v>
      </c>
    </row>
    <row r="80" spans="1:13" ht="17.25" customHeight="1" thickBot="1">
      <c r="A80" s="280"/>
      <c r="B80" s="280"/>
      <c r="C80" s="32" t="s">
        <v>13</v>
      </c>
      <c r="D80" s="146">
        <f t="shared" si="14"/>
        <v>0.75</v>
      </c>
      <c r="E80" s="146">
        <f t="shared" si="14"/>
        <v>0.93</v>
      </c>
      <c r="F80" s="146">
        <f t="shared" si="14"/>
        <v>1.1000000000000001</v>
      </c>
      <c r="G80" s="146">
        <f t="shared" si="14"/>
        <v>1.36</v>
      </c>
      <c r="H80" s="146">
        <f>+ROUND(H29*1.03,2)</f>
        <v>2.02</v>
      </c>
      <c r="I80" s="148">
        <f>+ROUND(I29*1.03,2)</f>
        <v>2.77</v>
      </c>
      <c r="J80" s="150" t="s">
        <v>115</v>
      </c>
    </row>
    <row r="81" spans="1:19" ht="17.25" customHeight="1" thickBot="1">
      <c r="A81" s="280"/>
      <c r="B81" s="280"/>
      <c r="C81" s="32" t="s">
        <v>15</v>
      </c>
      <c r="D81" s="146">
        <f t="shared" si="14"/>
        <v>0.9</v>
      </c>
      <c r="E81" s="146">
        <f t="shared" si="14"/>
        <v>1.08</v>
      </c>
      <c r="F81" s="146">
        <f t="shared" si="14"/>
        <v>1.29</v>
      </c>
      <c r="G81" s="146">
        <f t="shared" si="14"/>
        <v>1.56</v>
      </c>
      <c r="H81" s="148">
        <f>+ROUND(H30*1.03,2)</f>
        <v>2.2799999999999998</v>
      </c>
      <c r="I81" s="153" t="s">
        <v>115</v>
      </c>
      <c r="J81" s="151" t="s">
        <v>115</v>
      </c>
    </row>
    <row r="82" spans="1:19" ht="17.25" customHeight="1" thickBot="1">
      <c r="A82" s="280"/>
      <c r="B82" s="280"/>
      <c r="C82" s="34" t="s">
        <v>17</v>
      </c>
      <c r="D82" s="146">
        <f t="shared" si="14"/>
        <v>1.1399999999999999</v>
      </c>
      <c r="E82" s="146">
        <f t="shared" si="14"/>
        <v>1.31</v>
      </c>
      <c r="F82" s="146">
        <f t="shared" si="14"/>
        <v>1.53</v>
      </c>
      <c r="G82" s="148">
        <f t="shared" si="14"/>
        <v>1.85</v>
      </c>
      <c r="H82" s="155" t="s">
        <v>115</v>
      </c>
      <c r="I82" s="154" t="s">
        <v>115</v>
      </c>
      <c r="J82" s="152" t="s">
        <v>115</v>
      </c>
    </row>
    <row r="83" spans="1:19" ht="17.25" customHeight="1" thickBot="1">
      <c r="A83" s="280"/>
      <c r="B83" s="280"/>
      <c r="C83" s="32" t="s">
        <v>38</v>
      </c>
      <c r="D83" s="146">
        <f t="shared" si="14"/>
        <v>0.46</v>
      </c>
      <c r="E83" s="146">
        <f t="shared" si="14"/>
        <v>0.59</v>
      </c>
      <c r="F83" s="146">
        <f t="shared" si="14"/>
        <v>0.76</v>
      </c>
      <c r="G83" s="146">
        <f t="shared" si="14"/>
        <v>0.98</v>
      </c>
      <c r="H83" s="146">
        <f t="shared" ref="H83:J85" si="16">+ROUND(H32*1.03,2)</f>
        <v>1.61</v>
      </c>
      <c r="I83" s="146">
        <f t="shared" si="16"/>
        <v>2.2599999999999998</v>
      </c>
      <c r="J83" s="147">
        <f t="shared" si="16"/>
        <v>3.1</v>
      </c>
    </row>
    <row r="84" spans="1:19" ht="17.25" customHeight="1" thickBot="1">
      <c r="A84" s="280"/>
      <c r="B84" s="280"/>
      <c r="C84" s="32" t="s">
        <v>39</v>
      </c>
      <c r="D84" s="146">
        <f t="shared" si="14"/>
        <v>0.49</v>
      </c>
      <c r="E84" s="146">
        <f t="shared" si="14"/>
        <v>0.62</v>
      </c>
      <c r="F84" s="146">
        <f t="shared" si="14"/>
        <v>0.79</v>
      </c>
      <c r="G84" s="146">
        <f t="shared" si="14"/>
        <v>1.03</v>
      </c>
      <c r="H84" s="146">
        <f t="shared" si="16"/>
        <v>1.69</v>
      </c>
      <c r="I84" s="146">
        <f t="shared" si="16"/>
        <v>2.37</v>
      </c>
      <c r="J84" s="147">
        <f t="shared" si="16"/>
        <v>3.26</v>
      </c>
    </row>
    <row r="85" spans="1:19" ht="17.25" customHeight="1" thickBot="1">
      <c r="A85" s="281"/>
      <c r="B85" s="281"/>
      <c r="C85" s="34" t="s">
        <v>40</v>
      </c>
      <c r="D85" s="149">
        <f t="shared" si="14"/>
        <v>0.51</v>
      </c>
      <c r="E85" s="149">
        <f t="shared" si="14"/>
        <v>0.65</v>
      </c>
      <c r="F85" s="149">
        <f t="shared" si="14"/>
        <v>0.83</v>
      </c>
      <c r="G85" s="149">
        <f t="shared" si="14"/>
        <v>1.08</v>
      </c>
      <c r="H85" s="149">
        <f t="shared" si="16"/>
        <v>1.77</v>
      </c>
      <c r="I85" s="149">
        <f t="shared" si="16"/>
        <v>2.48</v>
      </c>
      <c r="J85" s="148">
        <f t="shared" si="16"/>
        <v>3.41</v>
      </c>
    </row>
    <row r="87" spans="1:19" ht="13.8" thickBot="1">
      <c r="L87" s="264" t="s">
        <v>132</v>
      </c>
    </row>
    <row r="88" spans="1:19" ht="13.8" thickBot="1">
      <c r="A88" s="156" t="s">
        <v>0</v>
      </c>
      <c r="B88" s="156" t="s">
        <v>99</v>
      </c>
      <c r="C88" s="156"/>
      <c r="D88" s="268" t="s">
        <v>1</v>
      </c>
      <c r="E88" s="269"/>
      <c r="F88" s="269"/>
      <c r="G88" s="269"/>
      <c r="H88" s="269"/>
      <c r="I88" s="269"/>
      <c r="J88" s="270"/>
      <c r="L88" s="156"/>
      <c r="M88" s="268" t="s">
        <v>1</v>
      </c>
      <c r="N88" s="269"/>
      <c r="O88" s="269"/>
      <c r="P88" s="269"/>
      <c r="Q88" s="269"/>
      <c r="R88" s="269"/>
      <c r="S88" s="270"/>
    </row>
    <row r="89" spans="1:19" ht="13.8" thickBot="1">
      <c r="A89" s="156" t="s">
        <v>100</v>
      </c>
      <c r="B89" s="156"/>
      <c r="C89" s="156"/>
      <c r="D89" s="7">
        <v>1</v>
      </c>
      <c r="E89" s="8">
        <v>2</v>
      </c>
      <c r="F89" s="8">
        <v>3</v>
      </c>
      <c r="G89" s="8">
        <v>4</v>
      </c>
      <c r="H89" s="8">
        <v>5</v>
      </c>
      <c r="I89" s="8">
        <v>6</v>
      </c>
      <c r="J89" s="9">
        <v>7</v>
      </c>
      <c r="L89" s="156"/>
      <c r="M89" s="7">
        <v>1</v>
      </c>
      <c r="N89" s="8">
        <v>2</v>
      </c>
      <c r="O89" s="8">
        <v>3</v>
      </c>
      <c r="P89" s="8">
        <v>4</v>
      </c>
      <c r="Q89" s="8">
        <v>5</v>
      </c>
      <c r="R89" s="8">
        <v>6</v>
      </c>
      <c r="S89" s="9">
        <v>7</v>
      </c>
    </row>
    <row r="90" spans="1:19" ht="13.8" thickBot="1">
      <c r="A90" s="279" t="s">
        <v>3</v>
      </c>
      <c r="B90" s="279"/>
      <c r="C90" s="30" t="s">
        <v>4</v>
      </c>
      <c r="D90" s="159">
        <f t="shared" ref="D90:J93" si="17">ROUND((100*D25)/(100-D25),2)</f>
        <v>0.41</v>
      </c>
      <c r="E90" s="159">
        <f t="shared" si="17"/>
        <v>0.52</v>
      </c>
      <c r="F90" s="159">
        <f t="shared" si="17"/>
        <v>0.67</v>
      </c>
      <c r="G90" s="159">
        <f t="shared" si="17"/>
        <v>0.87</v>
      </c>
      <c r="H90" s="159">
        <f t="shared" si="17"/>
        <v>1.43</v>
      </c>
      <c r="I90" s="159">
        <f t="shared" si="17"/>
        <v>2.0099999999999998</v>
      </c>
      <c r="J90" s="159">
        <f t="shared" si="17"/>
        <v>2.78</v>
      </c>
      <c r="L90" s="168" t="s">
        <v>4</v>
      </c>
      <c r="M90" s="160">
        <f>+$K$37/100*D90</f>
        <v>0</v>
      </c>
      <c r="N90" s="160">
        <f t="shared" ref="N90:S99" si="18">+$K$37/100*E90</f>
        <v>0</v>
      </c>
      <c r="O90" s="160">
        <f t="shared" si="18"/>
        <v>0</v>
      </c>
      <c r="P90" s="160">
        <f t="shared" si="18"/>
        <v>0</v>
      </c>
      <c r="Q90" s="160">
        <f t="shared" si="18"/>
        <v>0</v>
      </c>
      <c r="R90" s="160">
        <f t="shared" si="18"/>
        <v>0</v>
      </c>
      <c r="S90" s="160">
        <f t="shared" si="18"/>
        <v>0</v>
      </c>
    </row>
    <row r="91" spans="1:19" ht="13.8" thickBot="1">
      <c r="A91" s="280"/>
      <c r="B91" s="280"/>
      <c r="C91" s="31" t="s">
        <v>41</v>
      </c>
      <c r="D91" s="159">
        <f t="shared" si="17"/>
        <v>0.45</v>
      </c>
      <c r="E91" s="159">
        <f t="shared" si="17"/>
        <v>0.56999999999999995</v>
      </c>
      <c r="F91" s="159">
        <f t="shared" si="17"/>
        <v>0.74</v>
      </c>
      <c r="G91" s="159">
        <f t="shared" si="17"/>
        <v>0.96</v>
      </c>
      <c r="H91" s="159">
        <f t="shared" si="17"/>
        <v>1.59</v>
      </c>
      <c r="I91" s="159">
        <f t="shared" si="17"/>
        <v>2.2400000000000002</v>
      </c>
      <c r="J91" s="159">
        <f t="shared" si="17"/>
        <v>3.1</v>
      </c>
      <c r="L91" s="169" t="s">
        <v>41</v>
      </c>
      <c r="M91" s="160">
        <f t="shared" ref="M91:M99" si="19">+$K$37/100*D91</f>
        <v>0</v>
      </c>
      <c r="N91" s="160">
        <f t="shared" si="18"/>
        <v>0</v>
      </c>
      <c r="O91" s="160">
        <f t="shared" si="18"/>
        <v>0</v>
      </c>
      <c r="P91" s="160">
        <f t="shared" si="18"/>
        <v>0</v>
      </c>
      <c r="Q91" s="160">
        <f t="shared" si="18"/>
        <v>0</v>
      </c>
      <c r="R91" s="160">
        <f t="shared" si="18"/>
        <v>0</v>
      </c>
      <c r="S91" s="160">
        <f t="shared" si="18"/>
        <v>0</v>
      </c>
    </row>
    <row r="92" spans="1:19" ht="13.8" thickBot="1">
      <c r="A92" s="280"/>
      <c r="B92" s="280"/>
      <c r="C92" s="32" t="s">
        <v>7</v>
      </c>
      <c r="D92" s="159">
        <f t="shared" si="17"/>
        <v>0.56999999999999995</v>
      </c>
      <c r="E92" s="159">
        <f t="shared" si="17"/>
        <v>0.7</v>
      </c>
      <c r="F92" s="159">
        <f t="shared" si="17"/>
        <v>0.86</v>
      </c>
      <c r="G92" s="159">
        <f t="shared" si="17"/>
        <v>1.07</v>
      </c>
      <c r="H92" s="159">
        <f t="shared" si="17"/>
        <v>1.7</v>
      </c>
      <c r="I92" s="159">
        <f t="shared" si="17"/>
        <v>2.35</v>
      </c>
      <c r="J92" s="159">
        <f t="shared" si="17"/>
        <v>3.24</v>
      </c>
      <c r="L92" s="62" t="s">
        <v>7</v>
      </c>
      <c r="M92" s="160">
        <f t="shared" si="19"/>
        <v>0</v>
      </c>
      <c r="N92" s="160">
        <f t="shared" si="18"/>
        <v>0</v>
      </c>
      <c r="O92" s="160">
        <f t="shared" si="18"/>
        <v>0</v>
      </c>
      <c r="P92" s="160">
        <f t="shared" si="18"/>
        <v>0</v>
      </c>
      <c r="Q92" s="160">
        <f t="shared" si="18"/>
        <v>0</v>
      </c>
      <c r="R92" s="160">
        <f t="shared" si="18"/>
        <v>0</v>
      </c>
      <c r="S92" s="160">
        <f t="shared" si="18"/>
        <v>0</v>
      </c>
    </row>
    <row r="93" spans="1:19" ht="13.8" thickBot="1">
      <c r="A93" s="280"/>
      <c r="B93" s="280"/>
      <c r="C93" s="32" t="s">
        <v>10</v>
      </c>
      <c r="D93" s="159">
        <f t="shared" si="17"/>
        <v>0.66</v>
      </c>
      <c r="E93" s="159">
        <f t="shared" si="17"/>
        <v>0.8</v>
      </c>
      <c r="F93" s="159">
        <f t="shared" si="17"/>
        <v>0.98</v>
      </c>
      <c r="G93" s="159">
        <f t="shared" si="17"/>
        <v>1.21</v>
      </c>
      <c r="H93" s="159">
        <f t="shared" si="17"/>
        <v>1.85</v>
      </c>
      <c r="I93" s="159">
        <f t="shared" si="17"/>
        <v>2.52</v>
      </c>
      <c r="J93" s="159">
        <f t="shared" si="17"/>
        <v>3.4</v>
      </c>
      <c r="L93" s="62" t="s">
        <v>10</v>
      </c>
      <c r="M93" s="160">
        <f t="shared" si="19"/>
        <v>0</v>
      </c>
      <c r="N93" s="160">
        <f t="shared" si="18"/>
        <v>0</v>
      </c>
      <c r="O93" s="160">
        <f t="shared" si="18"/>
        <v>0</v>
      </c>
      <c r="P93" s="160">
        <f t="shared" si="18"/>
        <v>0</v>
      </c>
      <c r="Q93" s="160">
        <f t="shared" si="18"/>
        <v>0</v>
      </c>
      <c r="R93" s="160">
        <f t="shared" si="18"/>
        <v>0</v>
      </c>
      <c r="S93" s="160">
        <f t="shared" si="18"/>
        <v>0</v>
      </c>
    </row>
    <row r="94" spans="1:19" ht="13.8" thickBot="1">
      <c r="A94" s="280"/>
      <c r="B94" s="280"/>
      <c r="C94" s="32" t="s">
        <v>13</v>
      </c>
      <c r="D94" s="159">
        <f t="shared" ref="D94:I94" si="20">ROUND((100*D29)/(100-D29),2)</f>
        <v>0.74</v>
      </c>
      <c r="E94" s="159">
        <f t="shared" si="20"/>
        <v>0.91</v>
      </c>
      <c r="F94" s="159">
        <f t="shared" si="20"/>
        <v>1.08</v>
      </c>
      <c r="G94" s="159">
        <f t="shared" si="20"/>
        <v>1.34</v>
      </c>
      <c r="H94" s="159">
        <f t="shared" si="20"/>
        <v>2</v>
      </c>
      <c r="I94" s="159">
        <f t="shared" si="20"/>
        <v>2.76</v>
      </c>
      <c r="J94" s="150" t="s">
        <v>115</v>
      </c>
      <c r="L94" s="62" t="s">
        <v>13</v>
      </c>
      <c r="M94" s="160">
        <f t="shared" si="19"/>
        <v>0</v>
      </c>
      <c r="N94" s="160">
        <f t="shared" si="18"/>
        <v>0</v>
      </c>
      <c r="O94" s="160">
        <f t="shared" si="18"/>
        <v>0</v>
      </c>
      <c r="P94" s="160">
        <f t="shared" si="18"/>
        <v>0</v>
      </c>
      <c r="Q94" s="160">
        <f t="shared" si="18"/>
        <v>0</v>
      </c>
      <c r="R94" s="160">
        <f t="shared" si="18"/>
        <v>0</v>
      </c>
      <c r="S94" s="161"/>
    </row>
    <row r="95" spans="1:19" ht="13.8" thickBot="1">
      <c r="A95" s="280"/>
      <c r="B95" s="280"/>
      <c r="C95" s="32" t="s">
        <v>15</v>
      </c>
      <c r="D95" s="159">
        <f>ROUND((100*D30)/(100-D30),2)</f>
        <v>0.88</v>
      </c>
      <c r="E95" s="159">
        <f>ROUND((100*E30)/(100-E30),2)</f>
        <v>1.06</v>
      </c>
      <c r="F95" s="159">
        <f>ROUND((100*F30)/(100-F30),2)</f>
        <v>1.27</v>
      </c>
      <c r="G95" s="159">
        <f>ROUND((100*G30)/(100-G30),2)</f>
        <v>1.54</v>
      </c>
      <c r="H95" s="159">
        <f>ROUND((100*H30)/(100-H30),2)</f>
        <v>2.2599999999999998</v>
      </c>
      <c r="I95" s="150" t="s">
        <v>115</v>
      </c>
      <c r="J95" s="150" t="s">
        <v>115</v>
      </c>
      <c r="L95" s="62" t="s">
        <v>15</v>
      </c>
      <c r="M95" s="160">
        <f t="shared" si="19"/>
        <v>0</v>
      </c>
      <c r="N95" s="160">
        <f t="shared" si="18"/>
        <v>0</v>
      </c>
      <c r="O95" s="160">
        <f t="shared" si="18"/>
        <v>0</v>
      </c>
      <c r="P95" s="160">
        <f t="shared" si="18"/>
        <v>0</v>
      </c>
      <c r="Q95" s="160">
        <f t="shared" si="18"/>
        <v>0</v>
      </c>
      <c r="R95" s="162"/>
      <c r="S95" s="163"/>
    </row>
    <row r="96" spans="1:19" ht="13.8" thickBot="1">
      <c r="A96" s="280"/>
      <c r="B96" s="280"/>
      <c r="C96" s="34" t="s">
        <v>17</v>
      </c>
      <c r="D96" s="159">
        <f t="shared" ref="D96:G99" si="21">ROUND((100*D31)/(100-D31),2)</f>
        <v>1.1200000000000001</v>
      </c>
      <c r="E96" s="159">
        <f t="shared" si="21"/>
        <v>1.29</v>
      </c>
      <c r="F96" s="159">
        <f t="shared" si="21"/>
        <v>1.51</v>
      </c>
      <c r="G96" s="159">
        <f t="shared" si="21"/>
        <v>1.83</v>
      </c>
      <c r="H96" s="150" t="s">
        <v>115</v>
      </c>
      <c r="I96" s="150" t="s">
        <v>115</v>
      </c>
      <c r="J96" s="150" t="s">
        <v>115</v>
      </c>
      <c r="L96" s="64" t="s">
        <v>17</v>
      </c>
      <c r="M96" s="160">
        <f t="shared" si="19"/>
        <v>0</v>
      </c>
      <c r="N96" s="160">
        <f t="shared" si="18"/>
        <v>0</v>
      </c>
      <c r="O96" s="160">
        <f t="shared" si="18"/>
        <v>0</v>
      </c>
      <c r="P96" s="160">
        <f t="shared" si="18"/>
        <v>0</v>
      </c>
      <c r="Q96" s="164"/>
      <c r="R96" s="165"/>
      <c r="S96" s="166"/>
    </row>
    <row r="97" spans="1:19" ht="13.8" thickBot="1">
      <c r="A97" s="280"/>
      <c r="B97" s="280"/>
      <c r="C97" s="32" t="s">
        <v>38</v>
      </c>
      <c r="D97" s="159">
        <f t="shared" si="21"/>
        <v>0.45</v>
      </c>
      <c r="E97" s="159">
        <f t="shared" si="21"/>
        <v>0.56999999999999995</v>
      </c>
      <c r="F97" s="159">
        <f t="shared" si="21"/>
        <v>0.74</v>
      </c>
      <c r="G97" s="159">
        <f t="shared" si="21"/>
        <v>0.96</v>
      </c>
      <c r="H97" s="159">
        <f t="shared" ref="H97:J99" si="22">ROUND((100*H32)/(100-H32),2)</f>
        <v>1.59</v>
      </c>
      <c r="I97" s="159">
        <f t="shared" si="22"/>
        <v>2.2400000000000002</v>
      </c>
      <c r="J97" s="159">
        <f t="shared" si="22"/>
        <v>3.1</v>
      </c>
      <c r="L97" s="62" t="s">
        <v>38</v>
      </c>
      <c r="M97" s="160">
        <f t="shared" si="19"/>
        <v>0</v>
      </c>
      <c r="N97" s="160">
        <f t="shared" si="18"/>
        <v>0</v>
      </c>
      <c r="O97" s="160">
        <f t="shared" si="18"/>
        <v>0</v>
      </c>
      <c r="P97" s="160">
        <f t="shared" si="18"/>
        <v>0</v>
      </c>
      <c r="Q97" s="160">
        <f t="shared" ref="Q97:S99" si="23">+$K$37/100*H97</f>
        <v>0</v>
      </c>
      <c r="R97" s="160">
        <f t="shared" si="23"/>
        <v>0</v>
      </c>
      <c r="S97" s="160">
        <f t="shared" si="23"/>
        <v>0</v>
      </c>
    </row>
    <row r="98" spans="1:19" ht="13.8" thickBot="1">
      <c r="A98" s="280"/>
      <c r="B98" s="280"/>
      <c r="C98" s="32" t="s">
        <v>39</v>
      </c>
      <c r="D98" s="159">
        <f t="shared" si="21"/>
        <v>0.47</v>
      </c>
      <c r="E98" s="159">
        <f t="shared" si="21"/>
        <v>0.6</v>
      </c>
      <c r="F98" s="159">
        <f t="shared" si="21"/>
        <v>0.78</v>
      </c>
      <c r="G98" s="159">
        <f t="shared" si="21"/>
        <v>1.01</v>
      </c>
      <c r="H98" s="159">
        <f t="shared" si="22"/>
        <v>1.67</v>
      </c>
      <c r="I98" s="159">
        <f t="shared" si="22"/>
        <v>2.35</v>
      </c>
      <c r="J98" s="159">
        <f t="shared" si="22"/>
        <v>3.26</v>
      </c>
      <c r="L98" s="62" t="s">
        <v>39</v>
      </c>
      <c r="M98" s="160">
        <f t="shared" si="19"/>
        <v>0</v>
      </c>
      <c r="N98" s="160">
        <f t="shared" si="18"/>
        <v>0</v>
      </c>
      <c r="O98" s="160">
        <f t="shared" si="18"/>
        <v>0</v>
      </c>
      <c r="P98" s="160">
        <f t="shared" si="18"/>
        <v>0</v>
      </c>
      <c r="Q98" s="160">
        <f t="shared" si="23"/>
        <v>0</v>
      </c>
      <c r="R98" s="160">
        <f t="shared" si="23"/>
        <v>0</v>
      </c>
      <c r="S98" s="160">
        <f t="shared" si="23"/>
        <v>0</v>
      </c>
    </row>
    <row r="99" spans="1:19" ht="13.8" thickBot="1">
      <c r="A99" s="281"/>
      <c r="B99" s="281"/>
      <c r="C99" s="34" t="s">
        <v>40</v>
      </c>
      <c r="D99" s="159">
        <f t="shared" si="21"/>
        <v>0.5</v>
      </c>
      <c r="E99" s="159">
        <f t="shared" si="21"/>
        <v>0.63</v>
      </c>
      <c r="F99" s="159">
        <f t="shared" si="21"/>
        <v>0.82</v>
      </c>
      <c r="G99" s="159">
        <f t="shared" si="21"/>
        <v>1.06</v>
      </c>
      <c r="H99" s="159">
        <f t="shared" si="22"/>
        <v>1.75</v>
      </c>
      <c r="I99" s="159">
        <f t="shared" si="22"/>
        <v>2.4700000000000002</v>
      </c>
      <c r="J99" s="159">
        <f t="shared" si="22"/>
        <v>3.42</v>
      </c>
      <c r="L99" s="64" t="s">
        <v>40</v>
      </c>
      <c r="M99" s="160">
        <f t="shared" si="19"/>
        <v>0</v>
      </c>
      <c r="N99" s="160">
        <f t="shared" si="18"/>
        <v>0</v>
      </c>
      <c r="O99" s="160">
        <f t="shared" si="18"/>
        <v>0</v>
      </c>
      <c r="P99" s="160">
        <f t="shared" si="18"/>
        <v>0</v>
      </c>
      <c r="Q99" s="160">
        <f t="shared" si="23"/>
        <v>0</v>
      </c>
      <c r="R99" s="160">
        <f t="shared" si="23"/>
        <v>0</v>
      </c>
      <c r="S99" s="160">
        <f t="shared" si="23"/>
        <v>0</v>
      </c>
    </row>
    <row r="101" spans="1:19" ht="13.8" thickBot="1">
      <c r="A101" s="264" t="s">
        <v>132</v>
      </c>
      <c r="L101" s="264" t="s">
        <v>132</v>
      </c>
    </row>
    <row r="102" spans="1:19" ht="13.8" thickBot="1">
      <c r="A102" s="156" t="s">
        <v>0</v>
      </c>
      <c r="B102" s="156" t="s">
        <v>99</v>
      </c>
      <c r="C102" s="156"/>
      <c r="D102" s="268" t="s">
        <v>1</v>
      </c>
      <c r="E102" s="269"/>
      <c r="F102" s="269"/>
      <c r="G102" s="269"/>
      <c r="H102" s="269"/>
      <c r="I102" s="269"/>
      <c r="J102" s="270"/>
      <c r="L102" s="156"/>
      <c r="M102" s="268" t="s">
        <v>1</v>
      </c>
      <c r="N102" s="269"/>
      <c r="O102" s="269"/>
      <c r="P102" s="269"/>
      <c r="Q102" s="269"/>
      <c r="R102" s="269"/>
      <c r="S102" s="270"/>
    </row>
    <row r="103" spans="1:19" ht="13.8" thickBot="1">
      <c r="A103" s="156" t="s">
        <v>98</v>
      </c>
      <c r="B103" s="156"/>
      <c r="C103" s="156"/>
      <c r="D103" s="7">
        <v>1</v>
      </c>
      <c r="E103" s="8">
        <v>2</v>
      </c>
      <c r="F103" s="8">
        <v>3</v>
      </c>
      <c r="G103" s="8">
        <v>4</v>
      </c>
      <c r="H103" s="8">
        <v>5</v>
      </c>
      <c r="I103" s="8">
        <v>6</v>
      </c>
      <c r="J103" s="9">
        <v>7</v>
      </c>
      <c r="L103" s="156"/>
      <c r="M103" s="7">
        <v>1</v>
      </c>
      <c r="N103" s="8">
        <v>2</v>
      </c>
      <c r="O103" s="8">
        <v>3</v>
      </c>
      <c r="P103" s="8">
        <v>4</v>
      </c>
      <c r="Q103" s="8">
        <v>5</v>
      </c>
      <c r="R103" s="8">
        <v>6</v>
      </c>
      <c r="S103" s="9">
        <v>7</v>
      </c>
    </row>
    <row r="104" spans="1:19" ht="13.8" thickBot="1">
      <c r="A104" s="279" t="s">
        <v>3</v>
      </c>
      <c r="B104" s="279"/>
      <c r="C104" s="30" t="s">
        <v>4</v>
      </c>
      <c r="D104" s="157">
        <f t="shared" ref="D104:J104" si="24">ROUND((100*D25)/(100-D25),2)*1.03</f>
        <v>0.42230000000000001</v>
      </c>
      <c r="E104" s="157">
        <f t="shared" si="24"/>
        <v>0.53560000000000008</v>
      </c>
      <c r="F104" s="157">
        <f t="shared" si="24"/>
        <v>0.69010000000000005</v>
      </c>
      <c r="G104" s="157">
        <f t="shared" si="24"/>
        <v>0.89610000000000001</v>
      </c>
      <c r="H104" s="157">
        <f t="shared" si="24"/>
        <v>1.4728999999999999</v>
      </c>
      <c r="I104" s="157">
        <f t="shared" si="24"/>
        <v>2.0703</v>
      </c>
      <c r="J104" s="157">
        <f t="shared" si="24"/>
        <v>2.8633999999999999</v>
      </c>
      <c r="L104" s="168" t="s">
        <v>4</v>
      </c>
      <c r="M104" s="167">
        <f t="shared" ref="M104:S104" si="25">ROUND(+M90/100*3,2)</f>
        <v>0</v>
      </c>
      <c r="N104" s="167">
        <f t="shared" si="25"/>
        <v>0</v>
      </c>
      <c r="O104" s="167">
        <f t="shared" si="25"/>
        <v>0</v>
      </c>
      <c r="P104" s="167">
        <f t="shared" si="25"/>
        <v>0</v>
      </c>
      <c r="Q104" s="167">
        <f t="shared" si="25"/>
        <v>0</v>
      </c>
      <c r="R104" s="167">
        <f t="shared" si="25"/>
        <v>0</v>
      </c>
      <c r="S104" s="167">
        <f t="shared" si="25"/>
        <v>0</v>
      </c>
    </row>
    <row r="105" spans="1:19" ht="13.8" thickBot="1">
      <c r="A105" s="280"/>
      <c r="B105" s="280"/>
      <c r="C105" s="31" t="s">
        <v>41</v>
      </c>
      <c r="D105" s="157">
        <f t="shared" ref="D105:G113" si="26">ROUND((100*D26)/(100-D26),2)*1.03</f>
        <v>0.46350000000000002</v>
      </c>
      <c r="E105" s="157">
        <f t="shared" si="26"/>
        <v>0.58709999999999996</v>
      </c>
      <c r="F105" s="157">
        <f t="shared" si="26"/>
        <v>0.76219999999999999</v>
      </c>
      <c r="G105" s="157">
        <f t="shared" si="26"/>
        <v>0.98880000000000001</v>
      </c>
      <c r="H105" s="157">
        <f t="shared" ref="H105:J106" si="27">ROUND((100*H26)/(100-H26),2)*1.03</f>
        <v>1.6377000000000002</v>
      </c>
      <c r="I105" s="157">
        <f t="shared" si="27"/>
        <v>2.3072000000000004</v>
      </c>
      <c r="J105" s="157">
        <f t="shared" si="27"/>
        <v>3.1930000000000001</v>
      </c>
      <c r="L105" s="169" t="s">
        <v>41</v>
      </c>
      <c r="M105" s="167">
        <f t="shared" ref="M105:P113" si="28">ROUND(+M91/100*3,2)</f>
        <v>0</v>
      </c>
      <c r="N105" s="167">
        <f t="shared" si="28"/>
        <v>0</v>
      </c>
      <c r="O105" s="167">
        <f t="shared" si="28"/>
        <v>0</v>
      </c>
      <c r="P105" s="167">
        <f t="shared" si="28"/>
        <v>0</v>
      </c>
      <c r="Q105" s="167">
        <f t="shared" ref="Q105:S107" si="29">ROUND(+Q91/100*3,2)</f>
        <v>0</v>
      </c>
      <c r="R105" s="167">
        <f t="shared" si="29"/>
        <v>0</v>
      </c>
      <c r="S105" s="167">
        <f t="shared" si="29"/>
        <v>0</v>
      </c>
    </row>
    <row r="106" spans="1:19" ht="13.8" thickBot="1">
      <c r="A106" s="280"/>
      <c r="B106" s="280"/>
      <c r="C106" s="32" t="s">
        <v>7</v>
      </c>
      <c r="D106" s="157">
        <f t="shared" si="26"/>
        <v>0.58709999999999996</v>
      </c>
      <c r="E106" s="157">
        <f t="shared" si="26"/>
        <v>0.72099999999999997</v>
      </c>
      <c r="F106" s="157">
        <f t="shared" si="26"/>
        <v>0.88580000000000003</v>
      </c>
      <c r="G106" s="157">
        <f t="shared" si="26"/>
        <v>1.1021000000000001</v>
      </c>
      <c r="H106" s="157">
        <f t="shared" si="27"/>
        <v>1.7509999999999999</v>
      </c>
      <c r="I106" s="157">
        <f t="shared" si="27"/>
        <v>2.4205000000000001</v>
      </c>
      <c r="J106" s="157">
        <f t="shared" si="27"/>
        <v>3.3372000000000002</v>
      </c>
      <c r="L106" s="62" t="s">
        <v>7</v>
      </c>
      <c r="M106" s="167">
        <f t="shared" si="28"/>
        <v>0</v>
      </c>
      <c r="N106" s="167">
        <f t="shared" si="28"/>
        <v>0</v>
      </c>
      <c r="O106" s="167">
        <f t="shared" si="28"/>
        <v>0</v>
      </c>
      <c r="P106" s="167">
        <f t="shared" si="28"/>
        <v>0</v>
      </c>
      <c r="Q106" s="167">
        <f t="shared" si="29"/>
        <v>0</v>
      </c>
      <c r="R106" s="167">
        <f t="shared" si="29"/>
        <v>0</v>
      </c>
      <c r="S106" s="167">
        <f t="shared" si="29"/>
        <v>0</v>
      </c>
    </row>
    <row r="107" spans="1:19" ht="13.8" thickBot="1">
      <c r="A107" s="280"/>
      <c r="B107" s="280"/>
      <c r="C107" s="32" t="s">
        <v>10</v>
      </c>
      <c r="D107" s="157">
        <f t="shared" si="26"/>
        <v>0.67980000000000007</v>
      </c>
      <c r="E107" s="157">
        <f t="shared" si="26"/>
        <v>0.82400000000000007</v>
      </c>
      <c r="F107" s="157">
        <f t="shared" si="26"/>
        <v>1.0094000000000001</v>
      </c>
      <c r="G107" s="157">
        <f t="shared" si="26"/>
        <v>1.2463</v>
      </c>
      <c r="H107" s="157">
        <f t="shared" ref="H107:J108" si="30">ROUND((100*H28)/(100-H28),2)*1.03</f>
        <v>1.9055000000000002</v>
      </c>
      <c r="I107" s="157">
        <f t="shared" si="30"/>
        <v>2.5956000000000001</v>
      </c>
      <c r="J107" s="157">
        <f t="shared" si="30"/>
        <v>3.5019999999999998</v>
      </c>
      <c r="L107" s="62" t="s">
        <v>10</v>
      </c>
      <c r="M107" s="167">
        <f t="shared" si="28"/>
        <v>0</v>
      </c>
      <c r="N107" s="167">
        <f t="shared" si="28"/>
        <v>0</v>
      </c>
      <c r="O107" s="167">
        <f t="shared" si="28"/>
        <v>0</v>
      </c>
      <c r="P107" s="167">
        <f t="shared" si="28"/>
        <v>0</v>
      </c>
      <c r="Q107" s="167">
        <f t="shared" si="29"/>
        <v>0</v>
      </c>
      <c r="R107" s="167">
        <f t="shared" si="29"/>
        <v>0</v>
      </c>
      <c r="S107" s="167">
        <f t="shared" si="29"/>
        <v>0</v>
      </c>
    </row>
    <row r="108" spans="1:19" ht="13.8" thickBot="1">
      <c r="A108" s="280"/>
      <c r="B108" s="280"/>
      <c r="C108" s="32" t="s">
        <v>13</v>
      </c>
      <c r="D108" s="157">
        <f t="shared" si="26"/>
        <v>0.76219999999999999</v>
      </c>
      <c r="E108" s="157">
        <f t="shared" si="26"/>
        <v>0.93730000000000002</v>
      </c>
      <c r="F108" s="157">
        <f t="shared" si="26"/>
        <v>1.1124000000000001</v>
      </c>
      <c r="G108" s="157">
        <f t="shared" si="26"/>
        <v>1.3802000000000001</v>
      </c>
      <c r="H108" s="157">
        <f>ROUND((100*H29)/(100-H29),2)*1.03</f>
        <v>2.06</v>
      </c>
      <c r="I108" s="157">
        <f t="shared" si="30"/>
        <v>2.8428</v>
      </c>
      <c r="J108" s="150"/>
      <c r="L108" s="62" t="s">
        <v>13</v>
      </c>
      <c r="M108" s="167">
        <f t="shared" si="28"/>
        <v>0</v>
      </c>
      <c r="N108" s="167">
        <f t="shared" si="28"/>
        <v>0</v>
      </c>
      <c r="O108" s="167">
        <f t="shared" si="28"/>
        <v>0</v>
      </c>
      <c r="P108" s="167">
        <f t="shared" si="28"/>
        <v>0</v>
      </c>
      <c r="Q108" s="167">
        <f>ROUND(+Q94/100*3,2)</f>
        <v>0</v>
      </c>
      <c r="R108" s="167">
        <f>ROUND(+R94/100*3,2)</f>
        <v>0</v>
      </c>
      <c r="S108" s="161"/>
    </row>
    <row r="109" spans="1:19" ht="13.8" thickBot="1">
      <c r="A109" s="280"/>
      <c r="B109" s="280"/>
      <c r="C109" s="32" t="s">
        <v>15</v>
      </c>
      <c r="D109" s="157">
        <f t="shared" si="26"/>
        <v>0.90639999999999998</v>
      </c>
      <c r="E109" s="157">
        <f t="shared" si="26"/>
        <v>1.0918000000000001</v>
      </c>
      <c r="F109" s="157">
        <f t="shared" si="26"/>
        <v>1.3081</v>
      </c>
      <c r="G109" s="157">
        <f t="shared" si="26"/>
        <v>1.5862000000000001</v>
      </c>
      <c r="H109" s="157">
        <f>ROUND((100*H30)/(100-H30),2)*1.03</f>
        <v>2.3277999999999999</v>
      </c>
      <c r="I109" s="153"/>
      <c r="J109" s="151"/>
      <c r="L109" s="62" t="s">
        <v>15</v>
      </c>
      <c r="M109" s="167">
        <f t="shared" si="28"/>
        <v>0</v>
      </c>
      <c r="N109" s="167">
        <f t="shared" si="28"/>
        <v>0</v>
      </c>
      <c r="O109" s="167">
        <f t="shared" si="28"/>
        <v>0</v>
      </c>
      <c r="P109" s="167">
        <f t="shared" si="28"/>
        <v>0</v>
      </c>
      <c r="Q109" s="167">
        <f>ROUND(+Q95/100*3,2)</f>
        <v>0</v>
      </c>
      <c r="R109" s="162"/>
      <c r="S109" s="163"/>
    </row>
    <row r="110" spans="1:19" ht="13.8" thickBot="1">
      <c r="A110" s="280"/>
      <c r="B110" s="280"/>
      <c r="C110" s="34" t="s">
        <v>17</v>
      </c>
      <c r="D110" s="157">
        <f t="shared" si="26"/>
        <v>1.1536000000000002</v>
      </c>
      <c r="E110" s="157">
        <f t="shared" si="26"/>
        <v>1.3287</v>
      </c>
      <c r="F110" s="157">
        <f t="shared" si="26"/>
        <v>1.5553000000000001</v>
      </c>
      <c r="G110" s="157">
        <f t="shared" si="26"/>
        <v>1.8849</v>
      </c>
      <c r="H110" s="155"/>
      <c r="I110" s="154"/>
      <c r="J110" s="152"/>
      <c r="L110" s="64" t="s">
        <v>17</v>
      </c>
      <c r="M110" s="167">
        <f t="shared" si="28"/>
        <v>0</v>
      </c>
      <c r="N110" s="167">
        <f t="shared" si="28"/>
        <v>0</v>
      </c>
      <c r="O110" s="167">
        <f t="shared" si="28"/>
        <v>0</v>
      </c>
      <c r="P110" s="167">
        <f t="shared" si="28"/>
        <v>0</v>
      </c>
      <c r="Q110" s="164"/>
      <c r="R110" s="165"/>
      <c r="S110" s="166"/>
    </row>
    <row r="111" spans="1:19" ht="13.8" thickBot="1">
      <c r="A111" s="280"/>
      <c r="B111" s="280"/>
      <c r="C111" s="32" t="s">
        <v>38</v>
      </c>
      <c r="D111" s="157">
        <f t="shared" si="26"/>
        <v>0.46350000000000002</v>
      </c>
      <c r="E111" s="157">
        <f t="shared" si="26"/>
        <v>0.58709999999999996</v>
      </c>
      <c r="F111" s="157">
        <f t="shared" si="26"/>
        <v>0.76219999999999999</v>
      </c>
      <c r="G111" s="157">
        <f t="shared" si="26"/>
        <v>0.98880000000000001</v>
      </c>
      <c r="H111" s="157">
        <f t="shared" ref="H111:J113" si="31">ROUND((100*H32)/(100-H32),2)*1.03</f>
        <v>1.6377000000000002</v>
      </c>
      <c r="I111" s="157">
        <f t="shared" si="31"/>
        <v>2.3072000000000004</v>
      </c>
      <c r="J111" s="157">
        <f t="shared" si="31"/>
        <v>3.1930000000000001</v>
      </c>
      <c r="L111" s="62" t="s">
        <v>38</v>
      </c>
      <c r="M111" s="167">
        <f t="shared" si="28"/>
        <v>0</v>
      </c>
      <c r="N111" s="167">
        <f t="shared" si="28"/>
        <v>0</v>
      </c>
      <c r="O111" s="167">
        <f t="shared" si="28"/>
        <v>0</v>
      </c>
      <c r="P111" s="167">
        <f t="shared" si="28"/>
        <v>0</v>
      </c>
      <c r="Q111" s="167">
        <f t="shared" ref="Q111:S113" si="32">+Q97/100*3</f>
        <v>0</v>
      </c>
      <c r="R111" s="167">
        <f t="shared" si="32"/>
        <v>0</v>
      </c>
      <c r="S111" s="167">
        <f t="shared" si="32"/>
        <v>0</v>
      </c>
    </row>
    <row r="112" spans="1:19" ht="13.8" thickBot="1">
      <c r="A112" s="280"/>
      <c r="B112" s="280"/>
      <c r="C112" s="32" t="s">
        <v>39</v>
      </c>
      <c r="D112" s="157">
        <f t="shared" si="26"/>
        <v>0.48409999999999997</v>
      </c>
      <c r="E112" s="157">
        <f t="shared" si="26"/>
        <v>0.61799999999999999</v>
      </c>
      <c r="F112" s="157">
        <f t="shared" si="26"/>
        <v>0.8034</v>
      </c>
      <c r="G112" s="157">
        <f t="shared" si="26"/>
        <v>1.0403</v>
      </c>
      <c r="H112" s="157">
        <f t="shared" si="31"/>
        <v>1.7201</v>
      </c>
      <c r="I112" s="157">
        <f t="shared" si="31"/>
        <v>2.4205000000000001</v>
      </c>
      <c r="J112" s="157">
        <f t="shared" si="31"/>
        <v>3.3577999999999997</v>
      </c>
      <c r="L112" s="62" t="s">
        <v>39</v>
      </c>
      <c r="M112" s="167">
        <f t="shared" si="28"/>
        <v>0</v>
      </c>
      <c r="N112" s="167">
        <f t="shared" si="28"/>
        <v>0</v>
      </c>
      <c r="O112" s="167">
        <f t="shared" si="28"/>
        <v>0</v>
      </c>
      <c r="P112" s="167">
        <f t="shared" si="28"/>
        <v>0</v>
      </c>
      <c r="Q112" s="167">
        <f t="shared" si="32"/>
        <v>0</v>
      </c>
      <c r="R112" s="167">
        <f t="shared" si="32"/>
        <v>0</v>
      </c>
      <c r="S112" s="167">
        <f t="shared" si="32"/>
        <v>0</v>
      </c>
    </row>
    <row r="113" spans="1:19" ht="13.8" thickBot="1">
      <c r="A113" s="281"/>
      <c r="B113" s="281"/>
      <c r="C113" s="34" t="s">
        <v>40</v>
      </c>
      <c r="D113" s="157">
        <f t="shared" si="26"/>
        <v>0.51500000000000001</v>
      </c>
      <c r="E113" s="157">
        <f t="shared" si="26"/>
        <v>0.64890000000000003</v>
      </c>
      <c r="F113" s="157">
        <f t="shared" si="26"/>
        <v>0.84460000000000002</v>
      </c>
      <c r="G113" s="157">
        <f t="shared" si="26"/>
        <v>1.0918000000000001</v>
      </c>
      <c r="H113" s="157">
        <f t="shared" si="31"/>
        <v>1.8025</v>
      </c>
      <c r="I113" s="157">
        <f t="shared" si="31"/>
        <v>2.5441000000000003</v>
      </c>
      <c r="J113" s="157">
        <f t="shared" si="31"/>
        <v>3.5226000000000002</v>
      </c>
      <c r="L113" s="64" t="s">
        <v>40</v>
      </c>
      <c r="M113" s="167">
        <f t="shared" si="28"/>
        <v>0</v>
      </c>
      <c r="N113" s="167">
        <f t="shared" si="28"/>
        <v>0</v>
      </c>
      <c r="O113" s="167">
        <f t="shared" si="28"/>
        <v>0</v>
      </c>
      <c r="P113" s="167">
        <f t="shared" si="28"/>
        <v>0</v>
      </c>
      <c r="Q113" s="167">
        <f t="shared" si="32"/>
        <v>0</v>
      </c>
      <c r="R113" s="167">
        <f t="shared" si="32"/>
        <v>0</v>
      </c>
      <c r="S113" s="167">
        <f t="shared" si="32"/>
        <v>0</v>
      </c>
    </row>
    <row r="115" spans="1:19" ht="13.8" thickBot="1">
      <c r="L115" s="264" t="s">
        <v>132</v>
      </c>
    </row>
    <row r="116" spans="1:19" ht="13.8" thickBot="1">
      <c r="A116" s="156" t="s">
        <v>101</v>
      </c>
      <c r="B116" s="156"/>
      <c r="C116" s="156"/>
      <c r="D116" s="268" t="s">
        <v>1</v>
      </c>
      <c r="E116" s="269"/>
      <c r="F116" s="269"/>
      <c r="G116" s="269"/>
      <c r="H116" s="269"/>
      <c r="I116" s="269"/>
      <c r="J116" s="270"/>
      <c r="L116" s="156"/>
      <c r="M116" s="268" t="s">
        <v>1</v>
      </c>
      <c r="N116" s="269"/>
      <c r="O116" s="269"/>
      <c r="P116" s="269"/>
      <c r="Q116" s="269"/>
      <c r="R116" s="269"/>
      <c r="S116" s="270"/>
    </row>
    <row r="117" spans="1:19" ht="13.8" thickBot="1">
      <c r="A117" s="156"/>
      <c r="B117" s="156"/>
      <c r="C117" s="156"/>
      <c r="D117" s="7">
        <v>1</v>
      </c>
      <c r="E117" s="8">
        <v>2</v>
      </c>
      <c r="F117" s="8">
        <v>3</v>
      </c>
      <c r="G117" s="8">
        <v>4</v>
      </c>
      <c r="H117" s="8">
        <v>5</v>
      </c>
      <c r="I117" s="8">
        <v>6</v>
      </c>
      <c r="J117" s="9">
        <v>7</v>
      </c>
      <c r="L117" s="156"/>
      <c r="M117" s="7">
        <v>1</v>
      </c>
      <c r="N117" s="8">
        <v>2</v>
      </c>
      <c r="O117" s="8">
        <v>3</v>
      </c>
      <c r="P117" s="8">
        <v>4</v>
      </c>
      <c r="Q117" s="8">
        <v>5</v>
      </c>
      <c r="R117" s="8">
        <v>6</v>
      </c>
      <c r="S117" s="9">
        <v>7</v>
      </c>
    </row>
    <row r="118" spans="1:19" ht="13.8" thickBot="1">
      <c r="A118" s="279" t="s">
        <v>3</v>
      </c>
      <c r="B118" s="279"/>
      <c r="C118" s="30" t="s">
        <v>4</v>
      </c>
      <c r="D118" s="158">
        <f t="shared" ref="D118:J121" si="33">ROUND((100*D90)/(100-D90),2)</f>
        <v>0.41</v>
      </c>
      <c r="E118" s="158">
        <f t="shared" si="33"/>
        <v>0.52</v>
      </c>
      <c r="F118" s="158">
        <f t="shared" si="33"/>
        <v>0.67</v>
      </c>
      <c r="G118" s="158">
        <f t="shared" si="33"/>
        <v>0.88</v>
      </c>
      <c r="H118" s="158">
        <f t="shared" si="33"/>
        <v>1.45</v>
      </c>
      <c r="I118" s="158">
        <f t="shared" si="33"/>
        <v>2.0499999999999998</v>
      </c>
      <c r="J118" s="158">
        <f t="shared" si="33"/>
        <v>2.86</v>
      </c>
      <c r="L118" s="168" t="s">
        <v>4</v>
      </c>
      <c r="M118" s="170">
        <f>ROUND(+M104/100*D118,2)</f>
        <v>0</v>
      </c>
      <c r="N118" s="170">
        <f t="shared" ref="N118:S127" si="34">ROUND(+N104/100*E118,2)</f>
        <v>0</v>
      </c>
      <c r="O118" s="170">
        <f t="shared" si="34"/>
        <v>0</v>
      </c>
      <c r="P118" s="170">
        <f t="shared" si="34"/>
        <v>0</v>
      </c>
      <c r="Q118" s="170">
        <f t="shared" si="34"/>
        <v>0</v>
      </c>
      <c r="R118" s="170">
        <f t="shared" si="34"/>
        <v>0</v>
      </c>
      <c r="S118" s="170">
        <f t="shared" si="34"/>
        <v>0</v>
      </c>
    </row>
    <row r="119" spans="1:19" ht="13.8" thickBot="1">
      <c r="A119" s="280"/>
      <c r="B119" s="280"/>
      <c r="C119" s="31" t="s">
        <v>41</v>
      </c>
      <c r="D119" s="158">
        <f t="shared" si="33"/>
        <v>0.45</v>
      </c>
      <c r="E119" s="158">
        <f t="shared" si="33"/>
        <v>0.56999999999999995</v>
      </c>
      <c r="F119" s="158">
        <f t="shared" si="33"/>
        <v>0.75</v>
      </c>
      <c r="G119" s="158">
        <f t="shared" si="33"/>
        <v>0.97</v>
      </c>
      <c r="H119" s="158">
        <f t="shared" si="33"/>
        <v>1.62</v>
      </c>
      <c r="I119" s="158">
        <f t="shared" si="33"/>
        <v>2.29</v>
      </c>
      <c r="J119" s="158">
        <f t="shared" si="33"/>
        <v>3.2</v>
      </c>
      <c r="L119" s="169" t="s">
        <v>41</v>
      </c>
      <c r="M119" s="170">
        <f t="shared" ref="M119:M127" si="35">ROUND(+M105/100*D119,2)</f>
        <v>0</v>
      </c>
      <c r="N119" s="170">
        <f t="shared" si="34"/>
        <v>0</v>
      </c>
      <c r="O119" s="170">
        <f t="shared" si="34"/>
        <v>0</v>
      </c>
      <c r="P119" s="170">
        <f t="shared" si="34"/>
        <v>0</v>
      </c>
      <c r="Q119" s="170">
        <f t="shared" si="34"/>
        <v>0</v>
      </c>
      <c r="R119" s="170">
        <f t="shared" si="34"/>
        <v>0</v>
      </c>
      <c r="S119" s="170">
        <f t="shared" si="34"/>
        <v>0</v>
      </c>
    </row>
    <row r="120" spans="1:19" ht="13.8" thickBot="1">
      <c r="A120" s="280"/>
      <c r="B120" s="280"/>
      <c r="C120" s="32" t="s">
        <v>7</v>
      </c>
      <c r="D120" s="158">
        <f t="shared" si="33"/>
        <v>0.56999999999999995</v>
      </c>
      <c r="E120" s="158">
        <f t="shared" si="33"/>
        <v>0.7</v>
      </c>
      <c r="F120" s="158">
        <f t="shared" si="33"/>
        <v>0.87</v>
      </c>
      <c r="G120" s="158">
        <f t="shared" si="33"/>
        <v>1.08</v>
      </c>
      <c r="H120" s="158">
        <f t="shared" si="33"/>
        <v>1.73</v>
      </c>
      <c r="I120" s="158">
        <f t="shared" si="33"/>
        <v>2.41</v>
      </c>
      <c r="J120" s="158">
        <f t="shared" si="33"/>
        <v>3.35</v>
      </c>
      <c r="L120" s="62" t="s">
        <v>7</v>
      </c>
      <c r="M120" s="170">
        <f t="shared" si="35"/>
        <v>0</v>
      </c>
      <c r="N120" s="170">
        <f t="shared" si="34"/>
        <v>0</v>
      </c>
      <c r="O120" s="170">
        <f t="shared" si="34"/>
        <v>0</v>
      </c>
      <c r="P120" s="170">
        <f t="shared" si="34"/>
        <v>0</v>
      </c>
      <c r="Q120" s="170">
        <f t="shared" si="34"/>
        <v>0</v>
      </c>
      <c r="R120" s="170">
        <f t="shared" si="34"/>
        <v>0</v>
      </c>
      <c r="S120" s="170">
        <f t="shared" si="34"/>
        <v>0</v>
      </c>
    </row>
    <row r="121" spans="1:19" ht="13.8" thickBot="1">
      <c r="A121" s="280"/>
      <c r="B121" s="280"/>
      <c r="C121" s="32" t="s">
        <v>10</v>
      </c>
      <c r="D121" s="158">
        <f t="shared" si="33"/>
        <v>0.66</v>
      </c>
      <c r="E121" s="158">
        <f t="shared" si="33"/>
        <v>0.81</v>
      </c>
      <c r="F121" s="158">
        <f t="shared" si="33"/>
        <v>0.99</v>
      </c>
      <c r="G121" s="158">
        <f t="shared" si="33"/>
        <v>1.22</v>
      </c>
      <c r="H121" s="158">
        <f t="shared" si="33"/>
        <v>1.88</v>
      </c>
      <c r="I121" s="158">
        <f t="shared" si="33"/>
        <v>2.59</v>
      </c>
      <c r="J121" s="158">
        <f t="shared" si="33"/>
        <v>3.52</v>
      </c>
      <c r="L121" s="62" t="s">
        <v>10</v>
      </c>
      <c r="M121" s="170">
        <f t="shared" si="35"/>
        <v>0</v>
      </c>
      <c r="N121" s="170">
        <f t="shared" si="34"/>
        <v>0</v>
      </c>
      <c r="O121" s="170">
        <f t="shared" si="34"/>
        <v>0</v>
      </c>
      <c r="P121" s="170">
        <f t="shared" si="34"/>
        <v>0</v>
      </c>
      <c r="Q121" s="170">
        <f t="shared" si="34"/>
        <v>0</v>
      </c>
      <c r="R121" s="170">
        <f t="shared" si="34"/>
        <v>0</v>
      </c>
      <c r="S121" s="170">
        <f t="shared" si="34"/>
        <v>0</v>
      </c>
    </row>
    <row r="122" spans="1:19" ht="13.8" thickBot="1">
      <c r="A122" s="280"/>
      <c r="B122" s="280"/>
      <c r="C122" s="32" t="s">
        <v>13</v>
      </c>
      <c r="D122" s="158">
        <f t="shared" ref="D122:I122" si="36">ROUND((100*D94)/(100-D94),2)</f>
        <v>0.75</v>
      </c>
      <c r="E122" s="158">
        <f t="shared" si="36"/>
        <v>0.92</v>
      </c>
      <c r="F122" s="158">
        <f t="shared" si="36"/>
        <v>1.0900000000000001</v>
      </c>
      <c r="G122" s="158">
        <f t="shared" si="36"/>
        <v>1.36</v>
      </c>
      <c r="H122" s="158">
        <f t="shared" si="36"/>
        <v>2.04</v>
      </c>
      <c r="I122" s="158">
        <f t="shared" si="36"/>
        <v>2.84</v>
      </c>
      <c r="J122" s="150" t="s">
        <v>115</v>
      </c>
      <c r="L122" s="62" t="s">
        <v>13</v>
      </c>
      <c r="M122" s="170">
        <f t="shared" si="35"/>
        <v>0</v>
      </c>
      <c r="N122" s="170">
        <f t="shared" si="34"/>
        <v>0</v>
      </c>
      <c r="O122" s="170">
        <f t="shared" si="34"/>
        <v>0</v>
      </c>
      <c r="P122" s="170">
        <f t="shared" si="34"/>
        <v>0</v>
      </c>
      <c r="Q122" s="170">
        <f t="shared" si="34"/>
        <v>0</v>
      </c>
      <c r="R122" s="170">
        <f t="shared" si="34"/>
        <v>0</v>
      </c>
      <c r="S122" s="161"/>
    </row>
    <row r="123" spans="1:19" ht="13.8" thickBot="1">
      <c r="A123" s="280"/>
      <c r="B123" s="280"/>
      <c r="C123" s="32" t="s">
        <v>15</v>
      </c>
      <c r="D123" s="158">
        <f>ROUND((100*D95)/(100-D95),2)</f>
        <v>0.89</v>
      </c>
      <c r="E123" s="158">
        <f>ROUND((100*E95)/(100-E95),2)</f>
        <v>1.07</v>
      </c>
      <c r="F123" s="158">
        <f>ROUND((100*F95)/(100-F95),2)</f>
        <v>1.29</v>
      </c>
      <c r="G123" s="158">
        <f>ROUND((100*G95)/(100-G95),2)</f>
        <v>1.56</v>
      </c>
      <c r="H123" s="158">
        <f>ROUND((100*H95)/(100-H95),2)</f>
        <v>2.31</v>
      </c>
      <c r="I123" s="153" t="s">
        <v>115</v>
      </c>
      <c r="J123" s="151" t="s">
        <v>115</v>
      </c>
      <c r="L123" s="62" t="s">
        <v>15</v>
      </c>
      <c r="M123" s="170">
        <f t="shared" si="35"/>
        <v>0</v>
      </c>
      <c r="N123" s="170">
        <f t="shared" si="34"/>
        <v>0</v>
      </c>
      <c r="O123" s="170">
        <f t="shared" si="34"/>
        <v>0</v>
      </c>
      <c r="P123" s="170">
        <f t="shared" si="34"/>
        <v>0</v>
      </c>
      <c r="Q123" s="170">
        <f t="shared" si="34"/>
        <v>0</v>
      </c>
      <c r="R123" s="162"/>
      <c r="S123" s="163"/>
    </row>
    <row r="124" spans="1:19" ht="13.8" thickBot="1">
      <c r="A124" s="280"/>
      <c r="B124" s="280"/>
      <c r="C124" s="34" t="s">
        <v>17</v>
      </c>
      <c r="D124" s="158">
        <f t="shared" ref="D124:G127" si="37">ROUND((100*D96)/(100-D96),2)</f>
        <v>1.1299999999999999</v>
      </c>
      <c r="E124" s="158">
        <f t="shared" si="37"/>
        <v>1.31</v>
      </c>
      <c r="F124" s="158">
        <f t="shared" si="37"/>
        <v>1.53</v>
      </c>
      <c r="G124" s="158">
        <f t="shared" si="37"/>
        <v>1.86</v>
      </c>
      <c r="H124" s="155" t="s">
        <v>115</v>
      </c>
      <c r="I124" s="154" t="s">
        <v>115</v>
      </c>
      <c r="J124" s="152" t="s">
        <v>115</v>
      </c>
      <c r="L124" s="64" t="s">
        <v>17</v>
      </c>
      <c r="M124" s="170">
        <f t="shared" si="35"/>
        <v>0</v>
      </c>
      <c r="N124" s="170">
        <f t="shared" si="34"/>
        <v>0</v>
      </c>
      <c r="O124" s="170">
        <f t="shared" si="34"/>
        <v>0</v>
      </c>
      <c r="P124" s="170">
        <f t="shared" si="34"/>
        <v>0</v>
      </c>
      <c r="Q124" s="164"/>
      <c r="R124" s="165"/>
      <c r="S124" s="166"/>
    </row>
    <row r="125" spans="1:19" ht="13.8" thickBot="1">
      <c r="A125" s="280"/>
      <c r="B125" s="280"/>
      <c r="C125" s="32" t="s">
        <v>38</v>
      </c>
      <c r="D125" s="158">
        <f t="shared" si="37"/>
        <v>0.45</v>
      </c>
      <c r="E125" s="158">
        <f t="shared" si="37"/>
        <v>0.56999999999999995</v>
      </c>
      <c r="F125" s="158">
        <f t="shared" si="37"/>
        <v>0.75</v>
      </c>
      <c r="G125" s="158">
        <f t="shared" si="37"/>
        <v>0.97</v>
      </c>
      <c r="H125" s="158">
        <f t="shared" ref="H125:J127" si="38">ROUND((100*H97)/(100-H97),2)</f>
        <v>1.62</v>
      </c>
      <c r="I125" s="158">
        <f t="shared" si="38"/>
        <v>2.29</v>
      </c>
      <c r="J125" s="158">
        <f t="shared" si="38"/>
        <v>3.2</v>
      </c>
      <c r="L125" s="62" t="s">
        <v>38</v>
      </c>
      <c r="M125" s="170">
        <f t="shared" si="35"/>
        <v>0</v>
      </c>
      <c r="N125" s="170">
        <f t="shared" si="34"/>
        <v>0</v>
      </c>
      <c r="O125" s="170">
        <f t="shared" si="34"/>
        <v>0</v>
      </c>
      <c r="P125" s="170">
        <f t="shared" si="34"/>
        <v>0</v>
      </c>
      <c r="Q125" s="170">
        <f t="shared" ref="Q125:S127" si="39">ROUND(+Q111/100*H125,2)</f>
        <v>0</v>
      </c>
      <c r="R125" s="170">
        <f t="shared" si="39"/>
        <v>0</v>
      </c>
      <c r="S125" s="170">
        <f t="shared" si="39"/>
        <v>0</v>
      </c>
    </row>
    <row r="126" spans="1:19" ht="13.8" thickBot="1">
      <c r="A126" s="280"/>
      <c r="B126" s="280"/>
      <c r="C126" s="32" t="s">
        <v>39</v>
      </c>
      <c r="D126" s="158">
        <f t="shared" si="37"/>
        <v>0.47</v>
      </c>
      <c r="E126" s="158">
        <f t="shared" si="37"/>
        <v>0.6</v>
      </c>
      <c r="F126" s="158">
        <f t="shared" si="37"/>
        <v>0.79</v>
      </c>
      <c r="G126" s="158">
        <f t="shared" si="37"/>
        <v>1.02</v>
      </c>
      <c r="H126" s="158">
        <f t="shared" si="38"/>
        <v>1.7</v>
      </c>
      <c r="I126" s="158">
        <f t="shared" si="38"/>
        <v>2.41</v>
      </c>
      <c r="J126" s="158">
        <f t="shared" si="38"/>
        <v>3.37</v>
      </c>
      <c r="L126" s="62" t="s">
        <v>39</v>
      </c>
      <c r="M126" s="170">
        <f t="shared" si="35"/>
        <v>0</v>
      </c>
      <c r="N126" s="170">
        <f t="shared" si="34"/>
        <v>0</v>
      </c>
      <c r="O126" s="170">
        <f t="shared" si="34"/>
        <v>0</v>
      </c>
      <c r="P126" s="170">
        <f t="shared" si="34"/>
        <v>0</v>
      </c>
      <c r="Q126" s="170">
        <f t="shared" si="39"/>
        <v>0</v>
      </c>
      <c r="R126" s="170">
        <f t="shared" si="39"/>
        <v>0</v>
      </c>
      <c r="S126" s="170">
        <f t="shared" si="39"/>
        <v>0</v>
      </c>
    </row>
    <row r="127" spans="1:19" ht="13.8" thickBot="1">
      <c r="A127" s="281"/>
      <c r="B127" s="281"/>
      <c r="C127" s="34" t="s">
        <v>40</v>
      </c>
      <c r="D127" s="158">
        <f t="shared" si="37"/>
        <v>0.5</v>
      </c>
      <c r="E127" s="158">
        <f t="shared" si="37"/>
        <v>0.63</v>
      </c>
      <c r="F127" s="158">
        <f t="shared" si="37"/>
        <v>0.83</v>
      </c>
      <c r="G127" s="158">
        <f t="shared" si="37"/>
        <v>1.07</v>
      </c>
      <c r="H127" s="158">
        <f t="shared" si="38"/>
        <v>1.78</v>
      </c>
      <c r="I127" s="158">
        <f t="shared" si="38"/>
        <v>2.5299999999999998</v>
      </c>
      <c r="J127" s="158">
        <f t="shared" si="38"/>
        <v>3.54</v>
      </c>
      <c r="L127" s="64" t="s">
        <v>40</v>
      </c>
      <c r="M127" s="170">
        <f t="shared" si="35"/>
        <v>0</v>
      </c>
      <c r="N127" s="170">
        <f t="shared" si="34"/>
        <v>0</v>
      </c>
      <c r="O127" s="170">
        <f t="shared" si="34"/>
        <v>0</v>
      </c>
      <c r="P127" s="170">
        <f t="shared" si="34"/>
        <v>0</v>
      </c>
      <c r="Q127" s="170">
        <f t="shared" si="39"/>
        <v>0</v>
      </c>
      <c r="R127" s="170">
        <f t="shared" si="39"/>
        <v>0</v>
      </c>
      <c r="S127" s="170">
        <f t="shared" si="39"/>
        <v>0</v>
      </c>
    </row>
    <row r="129" spans="2:19" ht="13.8" thickBot="1">
      <c r="L129" s="264" t="s">
        <v>132</v>
      </c>
    </row>
    <row r="130" spans="2:19" ht="12.75" customHeight="1" thickBot="1">
      <c r="B130" s="282" t="s">
        <v>102</v>
      </c>
      <c r="C130" s="283"/>
      <c r="D130" s="283"/>
      <c r="E130" s="283"/>
      <c r="F130" s="283"/>
      <c r="G130" s="283"/>
      <c r="H130" s="283"/>
      <c r="I130" s="283"/>
      <c r="J130" s="284"/>
      <c r="L130" s="156"/>
      <c r="M130" s="268" t="s">
        <v>1</v>
      </c>
      <c r="N130" s="269"/>
      <c r="O130" s="269"/>
      <c r="P130" s="269"/>
      <c r="Q130" s="269"/>
      <c r="R130" s="269"/>
      <c r="S130" s="270"/>
    </row>
    <row r="131" spans="2:19" ht="13.8" thickBot="1">
      <c r="B131" s="274" t="s">
        <v>110</v>
      </c>
      <c r="C131" s="275"/>
      <c r="D131" s="275"/>
      <c r="E131" s="275"/>
      <c r="F131" s="275"/>
      <c r="G131" s="275"/>
      <c r="H131" s="275"/>
      <c r="I131" s="275"/>
      <c r="J131" s="276"/>
      <c r="L131" s="156"/>
      <c r="M131" s="7">
        <v>1</v>
      </c>
      <c r="N131" s="8">
        <v>2</v>
      </c>
      <c r="O131" s="8">
        <v>3</v>
      </c>
      <c r="P131" s="8">
        <v>4</v>
      </c>
      <c r="Q131" s="8">
        <v>5</v>
      </c>
      <c r="R131" s="8">
        <v>6</v>
      </c>
      <c r="S131" s="9">
        <v>7</v>
      </c>
    </row>
    <row r="132" spans="2:19" ht="13.8" thickBot="1">
      <c r="B132" s="274" t="s">
        <v>117</v>
      </c>
      <c r="C132" s="275"/>
      <c r="D132" s="275"/>
      <c r="E132" s="275"/>
      <c r="F132" s="275"/>
      <c r="G132" s="275"/>
      <c r="H132" s="275"/>
      <c r="I132" s="275"/>
      <c r="J132" s="276"/>
      <c r="L132" s="168" t="s">
        <v>4</v>
      </c>
      <c r="M132" s="171">
        <f>ROUND(+M90,2)</f>
        <v>0</v>
      </c>
      <c r="N132" s="171">
        <f t="shared" ref="N132:S132" si="40">ROUND(+N90,2)</f>
        <v>0</v>
      </c>
      <c r="O132" s="171">
        <f t="shared" si="40"/>
        <v>0</v>
      </c>
      <c r="P132" s="171">
        <f t="shared" si="40"/>
        <v>0</v>
      </c>
      <c r="Q132" s="171">
        <f t="shared" si="40"/>
        <v>0</v>
      </c>
      <c r="R132" s="171">
        <f t="shared" si="40"/>
        <v>0</v>
      </c>
      <c r="S132" s="171">
        <f t="shared" si="40"/>
        <v>0</v>
      </c>
    </row>
    <row r="133" spans="2:19" ht="13.8" thickBot="1">
      <c r="B133" s="274" t="s">
        <v>109</v>
      </c>
      <c r="C133" s="275"/>
      <c r="D133" s="275"/>
      <c r="E133" s="275"/>
      <c r="F133" s="275"/>
      <c r="G133" s="275"/>
      <c r="H133" s="275"/>
      <c r="I133" s="275"/>
      <c r="J133" s="276"/>
      <c r="L133" s="169" t="s">
        <v>41</v>
      </c>
      <c r="M133" s="171">
        <f t="shared" ref="M133:S133" si="41">ROUND(+M91,2)</f>
        <v>0</v>
      </c>
      <c r="N133" s="171">
        <f t="shared" si="41"/>
        <v>0</v>
      </c>
      <c r="O133" s="171">
        <f t="shared" si="41"/>
        <v>0</v>
      </c>
      <c r="P133" s="171">
        <f t="shared" si="41"/>
        <v>0</v>
      </c>
      <c r="Q133" s="171">
        <f t="shared" si="41"/>
        <v>0</v>
      </c>
      <c r="R133" s="171">
        <f t="shared" si="41"/>
        <v>0</v>
      </c>
      <c r="S133" s="171">
        <f t="shared" si="41"/>
        <v>0</v>
      </c>
    </row>
    <row r="134" spans="2:19" ht="13.8" thickBot="1">
      <c r="B134" s="274" t="s">
        <v>108</v>
      </c>
      <c r="C134" s="275"/>
      <c r="D134" s="275"/>
      <c r="E134" s="275"/>
      <c r="F134" s="275"/>
      <c r="G134" s="275"/>
      <c r="H134" s="275"/>
      <c r="I134" s="275"/>
      <c r="J134" s="276"/>
      <c r="L134" s="62" t="s">
        <v>7</v>
      </c>
      <c r="M134" s="171">
        <f t="shared" ref="M134:S134" si="42">ROUND(+M92,2)</f>
        <v>0</v>
      </c>
      <c r="N134" s="171">
        <f t="shared" si="42"/>
        <v>0</v>
      </c>
      <c r="O134" s="171">
        <f t="shared" si="42"/>
        <v>0</v>
      </c>
      <c r="P134" s="171">
        <f t="shared" si="42"/>
        <v>0</v>
      </c>
      <c r="Q134" s="171">
        <f t="shared" si="42"/>
        <v>0</v>
      </c>
      <c r="R134" s="171">
        <f t="shared" si="42"/>
        <v>0</v>
      </c>
      <c r="S134" s="171">
        <f t="shared" si="42"/>
        <v>0</v>
      </c>
    </row>
    <row r="135" spans="2:19" ht="13.8" thickBot="1">
      <c r="B135" s="274" t="s">
        <v>107</v>
      </c>
      <c r="C135" s="275"/>
      <c r="D135" s="275"/>
      <c r="E135" s="275"/>
      <c r="F135" s="275"/>
      <c r="G135" s="275"/>
      <c r="H135" s="275"/>
      <c r="I135" s="275"/>
      <c r="J135" s="276"/>
      <c r="L135" s="62" t="s">
        <v>10</v>
      </c>
      <c r="M135" s="171">
        <f t="shared" ref="M135:S137" si="43">ROUND(+M93,2)</f>
        <v>0</v>
      </c>
      <c r="N135" s="171">
        <f t="shared" si="43"/>
        <v>0</v>
      </c>
      <c r="O135" s="171">
        <f t="shared" si="43"/>
        <v>0</v>
      </c>
      <c r="P135" s="171">
        <f t="shared" si="43"/>
        <v>0</v>
      </c>
      <c r="Q135" s="171">
        <f t="shared" si="43"/>
        <v>0</v>
      </c>
      <c r="R135" s="171">
        <f t="shared" si="43"/>
        <v>0</v>
      </c>
      <c r="S135" s="171">
        <f t="shared" si="43"/>
        <v>0</v>
      </c>
    </row>
    <row r="136" spans="2:19" ht="13.8" thickBot="1">
      <c r="B136" s="274" t="s">
        <v>106</v>
      </c>
      <c r="C136" s="275"/>
      <c r="D136" s="275"/>
      <c r="E136" s="275"/>
      <c r="F136" s="275"/>
      <c r="G136" s="275"/>
      <c r="H136" s="275"/>
      <c r="I136" s="275"/>
      <c r="J136" s="276"/>
      <c r="L136" s="62" t="s">
        <v>13</v>
      </c>
      <c r="M136" s="171">
        <f t="shared" si="43"/>
        <v>0</v>
      </c>
      <c r="N136" s="171">
        <f t="shared" si="43"/>
        <v>0</v>
      </c>
      <c r="O136" s="171">
        <f t="shared" si="43"/>
        <v>0</v>
      </c>
      <c r="P136" s="171">
        <f t="shared" si="43"/>
        <v>0</v>
      </c>
      <c r="Q136" s="171">
        <f t="shared" si="43"/>
        <v>0</v>
      </c>
      <c r="R136" s="171">
        <f t="shared" si="43"/>
        <v>0</v>
      </c>
      <c r="S136" s="161"/>
    </row>
    <row r="137" spans="2:19" ht="13.8" thickBot="1">
      <c r="B137" s="274" t="s">
        <v>105</v>
      </c>
      <c r="C137" s="277"/>
      <c r="D137" s="277"/>
      <c r="E137" s="277"/>
      <c r="F137" s="277"/>
      <c r="G137" s="277"/>
      <c r="H137" s="277"/>
      <c r="I137" s="277"/>
      <c r="J137" s="278"/>
      <c r="L137" s="62" t="s">
        <v>15</v>
      </c>
      <c r="M137" s="171">
        <f t="shared" ref="M137:P139" si="44">ROUND(+M95,2)</f>
        <v>0</v>
      </c>
      <c r="N137" s="171">
        <f t="shared" si="44"/>
        <v>0</v>
      </c>
      <c r="O137" s="171">
        <f t="shared" si="44"/>
        <v>0</v>
      </c>
      <c r="P137" s="171">
        <f t="shared" si="44"/>
        <v>0</v>
      </c>
      <c r="Q137" s="171">
        <f t="shared" si="43"/>
        <v>0</v>
      </c>
      <c r="R137" s="162"/>
      <c r="S137" s="163"/>
    </row>
    <row r="138" spans="2:19" ht="13.8" thickBot="1">
      <c r="B138" s="274" t="s">
        <v>104</v>
      </c>
      <c r="C138" s="277"/>
      <c r="D138" s="277"/>
      <c r="E138" s="277"/>
      <c r="F138" s="277"/>
      <c r="G138" s="277"/>
      <c r="H138" s="277"/>
      <c r="I138" s="277"/>
      <c r="J138" s="278"/>
      <c r="L138" s="64" t="s">
        <v>17</v>
      </c>
      <c r="M138" s="171">
        <f t="shared" si="44"/>
        <v>0</v>
      </c>
      <c r="N138" s="171">
        <f t="shared" si="44"/>
        <v>0</v>
      </c>
      <c r="O138" s="171">
        <f t="shared" si="44"/>
        <v>0</v>
      </c>
      <c r="P138" s="171">
        <f t="shared" si="44"/>
        <v>0</v>
      </c>
      <c r="Q138" s="164"/>
      <c r="R138" s="165"/>
      <c r="S138" s="166"/>
    </row>
    <row r="139" spans="2:19" ht="13.8" thickBot="1">
      <c r="B139" s="271" t="s">
        <v>103</v>
      </c>
      <c r="C139" s="272"/>
      <c r="D139" s="272"/>
      <c r="E139" s="272"/>
      <c r="F139" s="272"/>
      <c r="G139" s="272"/>
      <c r="H139" s="272"/>
      <c r="I139" s="272"/>
      <c r="J139" s="273"/>
      <c r="L139" s="62" t="s">
        <v>38</v>
      </c>
      <c r="M139" s="171">
        <f t="shared" si="44"/>
        <v>0</v>
      </c>
      <c r="N139" s="171">
        <f t="shared" si="44"/>
        <v>0</v>
      </c>
      <c r="O139" s="171">
        <f t="shared" si="44"/>
        <v>0</v>
      </c>
      <c r="P139" s="171">
        <f t="shared" si="44"/>
        <v>0</v>
      </c>
      <c r="Q139" s="171">
        <f>ROUND(+Q97,2)</f>
        <v>0</v>
      </c>
      <c r="R139" s="171">
        <f>ROUND(+R97,2)</f>
        <v>0</v>
      </c>
      <c r="S139" s="171">
        <f>ROUND(+S97,2)</f>
        <v>0</v>
      </c>
    </row>
    <row r="140" spans="2:19" ht="13.8" thickBot="1">
      <c r="L140" s="62" t="s">
        <v>39</v>
      </c>
      <c r="M140" s="171">
        <f t="shared" ref="M140:S140" si="45">ROUND(+M98,2)</f>
        <v>0</v>
      </c>
      <c r="N140" s="171">
        <f t="shared" si="45"/>
        <v>0</v>
      </c>
      <c r="O140" s="171">
        <f t="shared" si="45"/>
        <v>0</v>
      </c>
      <c r="P140" s="171">
        <f t="shared" si="45"/>
        <v>0</v>
      </c>
      <c r="Q140" s="171">
        <f t="shared" si="45"/>
        <v>0</v>
      </c>
      <c r="R140" s="171">
        <f t="shared" si="45"/>
        <v>0</v>
      </c>
      <c r="S140" s="171">
        <f t="shared" si="45"/>
        <v>0</v>
      </c>
    </row>
    <row r="141" spans="2:19" ht="13.8" thickBot="1">
      <c r="L141" s="64" t="s">
        <v>40</v>
      </c>
      <c r="M141" s="171">
        <f t="shared" ref="M141:S141" si="46">ROUND(+M99,2)</f>
        <v>0</v>
      </c>
      <c r="N141" s="171">
        <f t="shared" si="46"/>
        <v>0</v>
      </c>
      <c r="O141" s="171">
        <f t="shared" si="46"/>
        <v>0</v>
      </c>
      <c r="P141" s="171">
        <f t="shared" si="46"/>
        <v>0</v>
      </c>
      <c r="Q141" s="171">
        <f t="shared" si="46"/>
        <v>0</v>
      </c>
      <c r="R141" s="171">
        <f t="shared" si="46"/>
        <v>0</v>
      </c>
      <c r="S141" s="171">
        <f t="shared" si="46"/>
        <v>0</v>
      </c>
    </row>
    <row r="143" spans="2:19" ht="13.8" thickBot="1">
      <c r="L143" s="264" t="s">
        <v>132</v>
      </c>
    </row>
    <row r="144" spans="2:19" ht="13.8" thickBot="1">
      <c r="L144" s="156"/>
      <c r="M144" s="268" t="s">
        <v>1</v>
      </c>
      <c r="N144" s="269"/>
      <c r="O144" s="269"/>
      <c r="P144" s="269"/>
      <c r="Q144" s="269"/>
      <c r="R144" s="269"/>
      <c r="S144" s="270"/>
    </row>
    <row r="145" spans="12:19" ht="13.8" thickBot="1">
      <c r="L145" s="156"/>
      <c r="M145" s="7">
        <v>1</v>
      </c>
      <c r="N145" s="8">
        <v>2</v>
      </c>
      <c r="O145" s="8">
        <v>3</v>
      </c>
      <c r="P145" s="8">
        <v>4</v>
      </c>
      <c r="Q145" s="8">
        <v>5</v>
      </c>
      <c r="R145" s="8">
        <v>6</v>
      </c>
      <c r="S145" s="9">
        <v>7</v>
      </c>
    </row>
    <row r="146" spans="12:19" ht="13.8" thickBot="1">
      <c r="L146" s="168" t="s">
        <v>4</v>
      </c>
      <c r="M146" s="172" t="e">
        <f t="shared" ref="M146:S146" si="47">ROUND(+M132/$K$37*100,2)</f>
        <v>#DIV/0!</v>
      </c>
      <c r="N146" s="172" t="e">
        <f t="shared" si="47"/>
        <v>#DIV/0!</v>
      </c>
      <c r="O146" s="172" t="e">
        <f t="shared" si="47"/>
        <v>#DIV/0!</v>
      </c>
      <c r="P146" s="172" t="e">
        <f t="shared" si="47"/>
        <v>#DIV/0!</v>
      </c>
      <c r="Q146" s="172" t="e">
        <f t="shared" si="47"/>
        <v>#DIV/0!</v>
      </c>
      <c r="R146" s="172" t="e">
        <f t="shared" si="47"/>
        <v>#DIV/0!</v>
      </c>
      <c r="S146" s="172" t="e">
        <f t="shared" si="47"/>
        <v>#DIV/0!</v>
      </c>
    </row>
    <row r="147" spans="12:19" ht="13.8" thickBot="1">
      <c r="L147" s="169" t="s">
        <v>41</v>
      </c>
      <c r="M147" s="172" t="e">
        <f t="shared" ref="M147:R155" si="48">ROUND(+M133/$K$37*100,2)</f>
        <v>#DIV/0!</v>
      </c>
      <c r="N147" s="172" t="e">
        <f t="shared" si="48"/>
        <v>#DIV/0!</v>
      </c>
      <c r="O147" s="172" t="e">
        <f t="shared" si="48"/>
        <v>#DIV/0!</v>
      </c>
      <c r="P147" s="172" t="e">
        <f t="shared" si="48"/>
        <v>#DIV/0!</v>
      </c>
      <c r="Q147" s="172" t="e">
        <f t="shared" ref="Q147:S149" si="49">ROUND(+Q133/$K$37*100,2)</f>
        <v>#DIV/0!</v>
      </c>
      <c r="R147" s="172" t="e">
        <f t="shared" si="49"/>
        <v>#DIV/0!</v>
      </c>
      <c r="S147" s="172" t="e">
        <f t="shared" si="49"/>
        <v>#DIV/0!</v>
      </c>
    </row>
    <row r="148" spans="12:19" ht="13.8" thickBot="1">
      <c r="L148" s="62" t="s">
        <v>7</v>
      </c>
      <c r="M148" s="172" t="e">
        <f t="shared" si="48"/>
        <v>#DIV/0!</v>
      </c>
      <c r="N148" s="172" t="e">
        <f t="shared" si="48"/>
        <v>#DIV/0!</v>
      </c>
      <c r="O148" s="172" t="e">
        <f t="shared" si="48"/>
        <v>#DIV/0!</v>
      </c>
      <c r="P148" s="172" t="e">
        <f t="shared" si="48"/>
        <v>#DIV/0!</v>
      </c>
      <c r="Q148" s="172" t="e">
        <f t="shared" si="49"/>
        <v>#DIV/0!</v>
      </c>
      <c r="R148" s="172" t="e">
        <f t="shared" si="49"/>
        <v>#DIV/0!</v>
      </c>
      <c r="S148" s="172" t="e">
        <f t="shared" si="49"/>
        <v>#DIV/0!</v>
      </c>
    </row>
    <row r="149" spans="12:19" ht="13.8" thickBot="1">
      <c r="L149" s="62" t="s">
        <v>10</v>
      </c>
      <c r="M149" s="172" t="e">
        <f t="shared" si="48"/>
        <v>#DIV/0!</v>
      </c>
      <c r="N149" s="172" t="e">
        <f t="shared" si="48"/>
        <v>#DIV/0!</v>
      </c>
      <c r="O149" s="172" t="e">
        <f t="shared" si="48"/>
        <v>#DIV/0!</v>
      </c>
      <c r="P149" s="172" t="e">
        <f t="shared" si="48"/>
        <v>#DIV/0!</v>
      </c>
      <c r="Q149" s="172" t="e">
        <f t="shared" si="49"/>
        <v>#DIV/0!</v>
      </c>
      <c r="R149" s="172" t="e">
        <f t="shared" si="49"/>
        <v>#DIV/0!</v>
      </c>
      <c r="S149" s="172" t="e">
        <f t="shared" si="49"/>
        <v>#DIV/0!</v>
      </c>
    </row>
    <row r="150" spans="12:19" ht="13.8" thickBot="1">
      <c r="L150" s="62" t="s">
        <v>13</v>
      </c>
      <c r="M150" s="172" t="e">
        <f t="shared" si="48"/>
        <v>#DIV/0!</v>
      </c>
      <c r="N150" s="172" t="e">
        <f t="shared" si="48"/>
        <v>#DIV/0!</v>
      </c>
      <c r="O150" s="172" t="e">
        <f t="shared" si="48"/>
        <v>#DIV/0!</v>
      </c>
      <c r="P150" s="172" t="e">
        <f t="shared" si="48"/>
        <v>#DIV/0!</v>
      </c>
      <c r="Q150" s="172" t="e">
        <f t="shared" si="48"/>
        <v>#DIV/0!</v>
      </c>
      <c r="R150" s="172" t="e">
        <f t="shared" si="48"/>
        <v>#DIV/0!</v>
      </c>
      <c r="S150" s="161" t="s">
        <v>115</v>
      </c>
    </row>
    <row r="151" spans="12:19" ht="13.8" thickBot="1">
      <c r="L151" s="62" t="s">
        <v>15</v>
      </c>
      <c r="M151" s="172" t="e">
        <f t="shared" si="48"/>
        <v>#DIV/0!</v>
      </c>
      <c r="N151" s="172" t="e">
        <f t="shared" si="48"/>
        <v>#DIV/0!</v>
      </c>
      <c r="O151" s="172" t="e">
        <f t="shared" si="48"/>
        <v>#DIV/0!</v>
      </c>
      <c r="P151" s="172" t="e">
        <f t="shared" si="48"/>
        <v>#DIV/0!</v>
      </c>
      <c r="Q151" s="172" t="e">
        <f t="shared" si="48"/>
        <v>#DIV/0!</v>
      </c>
      <c r="R151" s="162" t="s">
        <v>115</v>
      </c>
      <c r="S151" s="163" t="s">
        <v>115</v>
      </c>
    </row>
    <row r="152" spans="12:19" ht="13.8" thickBot="1">
      <c r="L152" s="64" t="s">
        <v>17</v>
      </c>
      <c r="M152" s="172" t="e">
        <f t="shared" si="48"/>
        <v>#DIV/0!</v>
      </c>
      <c r="N152" s="172" t="e">
        <f t="shared" si="48"/>
        <v>#DIV/0!</v>
      </c>
      <c r="O152" s="172" t="e">
        <f t="shared" si="48"/>
        <v>#DIV/0!</v>
      </c>
      <c r="P152" s="172" t="e">
        <f t="shared" si="48"/>
        <v>#DIV/0!</v>
      </c>
      <c r="Q152" s="164" t="s">
        <v>115</v>
      </c>
      <c r="R152" s="165" t="s">
        <v>115</v>
      </c>
      <c r="S152" s="166" t="s">
        <v>115</v>
      </c>
    </row>
    <row r="153" spans="12:19" ht="13.8" thickBot="1">
      <c r="L153" s="62" t="s">
        <v>38</v>
      </c>
      <c r="M153" s="172" t="e">
        <f t="shared" si="48"/>
        <v>#DIV/0!</v>
      </c>
      <c r="N153" s="172" t="e">
        <f t="shared" si="48"/>
        <v>#DIV/0!</v>
      </c>
      <c r="O153" s="172" t="e">
        <f t="shared" si="48"/>
        <v>#DIV/0!</v>
      </c>
      <c r="P153" s="172" t="e">
        <f t="shared" si="48"/>
        <v>#DIV/0!</v>
      </c>
      <c r="Q153" s="172" t="e">
        <f t="shared" ref="Q153:S155" si="50">ROUND(+Q139/$K$37*100,2)</f>
        <v>#DIV/0!</v>
      </c>
      <c r="R153" s="172" t="e">
        <f t="shared" si="50"/>
        <v>#DIV/0!</v>
      </c>
      <c r="S153" s="172" t="e">
        <f t="shared" si="50"/>
        <v>#DIV/0!</v>
      </c>
    </row>
    <row r="154" spans="12:19" ht="13.8" thickBot="1">
      <c r="L154" s="62" t="s">
        <v>39</v>
      </c>
      <c r="M154" s="172" t="e">
        <f t="shared" si="48"/>
        <v>#DIV/0!</v>
      </c>
      <c r="N154" s="172" t="e">
        <f t="shared" si="48"/>
        <v>#DIV/0!</v>
      </c>
      <c r="O154" s="172" t="e">
        <f t="shared" si="48"/>
        <v>#DIV/0!</v>
      </c>
      <c r="P154" s="172" t="e">
        <f t="shared" si="48"/>
        <v>#DIV/0!</v>
      </c>
      <c r="Q154" s="172" t="e">
        <f t="shared" si="50"/>
        <v>#DIV/0!</v>
      </c>
      <c r="R154" s="172" t="e">
        <f t="shared" si="50"/>
        <v>#DIV/0!</v>
      </c>
      <c r="S154" s="172" t="e">
        <f t="shared" si="50"/>
        <v>#DIV/0!</v>
      </c>
    </row>
    <row r="155" spans="12:19" ht="13.8" thickBot="1">
      <c r="L155" s="64" t="s">
        <v>40</v>
      </c>
      <c r="M155" s="172" t="e">
        <f t="shared" si="48"/>
        <v>#DIV/0!</v>
      </c>
      <c r="N155" s="172" t="e">
        <f t="shared" si="48"/>
        <v>#DIV/0!</v>
      </c>
      <c r="O155" s="172" t="e">
        <f t="shared" si="48"/>
        <v>#DIV/0!</v>
      </c>
      <c r="P155" s="172" t="e">
        <f t="shared" si="48"/>
        <v>#DIV/0!</v>
      </c>
      <c r="Q155" s="172" t="e">
        <f t="shared" si="50"/>
        <v>#DIV/0!</v>
      </c>
      <c r="R155" s="172" t="e">
        <f t="shared" si="50"/>
        <v>#DIV/0!</v>
      </c>
      <c r="S155" s="172" t="e">
        <f t="shared" si="50"/>
        <v>#DIV/0!</v>
      </c>
    </row>
  </sheetData>
  <mergeCells count="49">
    <mergeCell ref="A41:D41"/>
    <mergeCell ref="A40:D40"/>
    <mergeCell ref="A45:D45"/>
    <mergeCell ref="A42:D42"/>
    <mergeCell ref="A43:D43"/>
    <mergeCell ref="A44:D44"/>
    <mergeCell ref="A37:E38"/>
    <mergeCell ref="A39:D39"/>
    <mergeCell ref="A16:C16"/>
    <mergeCell ref="A17:C17"/>
    <mergeCell ref="A18:C18"/>
    <mergeCell ref="A19:C19"/>
    <mergeCell ref="A20:C20"/>
    <mergeCell ref="D23:J23"/>
    <mergeCell ref="A25:A34"/>
    <mergeCell ref="B25:B34"/>
    <mergeCell ref="A1:C2"/>
    <mergeCell ref="D1:J1"/>
    <mergeCell ref="A3:A15"/>
    <mergeCell ref="B3:C3"/>
    <mergeCell ref="B4:C4"/>
    <mergeCell ref="B6:B15"/>
    <mergeCell ref="A118:A127"/>
    <mergeCell ref="B118:B127"/>
    <mergeCell ref="B130:J130"/>
    <mergeCell ref="D74:J74"/>
    <mergeCell ref="A76:A85"/>
    <mergeCell ref="B76:B85"/>
    <mergeCell ref="D102:J102"/>
    <mergeCell ref="A104:A113"/>
    <mergeCell ref="B104:B113"/>
    <mergeCell ref="D88:J88"/>
    <mergeCell ref="A90:A99"/>
    <mergeCell ref="B90:B99"/>
    <mergeCell ref="M144:S144"/>
    <mergeCell ref="B139:J139"/>
    <mergeCell ref="M88:S88"/>
    <mergeCell ref="M102:S102"/>
    <mergeCell ref="M116:S116"/>
    <mergeCell ref="M130:S130"/>
    <mergeCell ref="B135:J135"/>
    <mergeCell ref="B136:J136"/>
    <mergeCell ref="B137:J137"/>
    <mergeCell ref="B138:J138"/>
    <mergeCell ref="B131:J131"/>
    <mergeCell ref="B132:J132"/>
    <mergeCell ref="B133:J133"/>
    <mergeCell ref="B134:J134"/>
    <mergeCell ref="D116:J116"/>
  </mergeCells>
  <phoneticPr fontId="4" type="noConversion"/>
  <dataValidations count="1">
    <dataValidation type="decimal" allowBlank="1" showInputMessage="1" showErrorMessage="1" sqref="E40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WEB</vt:lpstr>
      <vt:lpstr>CALCULATIONS</vt:lpstr>
      <vt:lpstr>Sheet1</vt:lpstr>
      <vt:lpstr>WEB!Print_Area</vt:lpstr>
    </vt:vector>
  </TitlesOfParts>
  <Company>ONDD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NTUSER</dc:creator>
  <cp:lastModifiedBy>Laurence de Barquin</cp:lastModifiedBy>
  <cp:lastPrinted>2012-12-12T10:02:54Z</cp:lastPrinted>
  <dcterms:created xsi:type="dcterms:W3CDTF">2011-09-08T08:50:10Z</dcterms:created>
  <dcterms:modified xsi:type="dcterms:W3CDTF">2021-02-09T14:53:52Z</dcterms:modified>
</cp:coreProperties>
</file>